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ПФХД от 25.07.2024\"/>
    </mc:Choice>
  </mc:AlternateContent>
  <bookViews>
    <workbookView xWindow="-120" yWindow="-120" windowWidth="20640" windowHeight="11160"/>
  </bookViews>
  <sheets>
    <sheet name="СОШ №45" sheetId="1" r:id="rId1"/>
    <sheet name="Разд.1" sheetId="7" r:id="rId2"/>
    <sheet name="2024" sheetId="2" r:id="rId3"/>
    <sheet name="2025" sheetId="4" r:id="rId4"/>
    <sheet name="2026" sheetId="5" r:id="rId5"/>
    <sheet name="Разд.1.4" sheetId="6" r:id="rId6"/>
    <sheet name="Разд.2" sheetId="3" r:id="rId7"/>
  </sheets>
  <definedNames>
    <definedName name="_xlnm.Print_Area" localSheetId="2">'2024'!$A$1:$X$88</definedName>
    <definedName name="_xlnm.Print_Area" localSheetId="3">'2025'!$A$1:$Y$88</definedName>
    <definedName name="_xlnm.Print_Area" localSheetId="4">'2026'!$A$1:$Y$88</definedName>
    <definedName name="_xlnm.Print_Area" localSheetId="1">Разд.1!$A$1:$AS$88</definedName>
    <definedName name="_xlnm.Print_Area" localSheetId="5">Разд.1.4!$A$1:$V$87</definedName>
    <definedName name="_xlnm.Print_Area" localSheetId="6">Разд.2!$A$1:$J$59</definedName>
    <definedName name="_xlnm.Print_Area" localSheetId="0">'СОШ №45'!$A$1:$J$32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0" i="2" l="1"/>
  <c r="F75" i="2" l="1"/>
  <c r="F73" i="2"/>
  <c r="U39" i="2" l="1"/>
  <c r="U35" i="2"/>
  <c r="I70" i="2" l="1"/>
  <c r="U75" i="2"/>
  <c r="U73" i="2"/>
  <c r="F39" i="2" l="1"/>
  <c r="F35" i="2"/>
  <c r="R39" i="5" l="1"/>
  <c r="R35" i="5"/>
  <c r="R39" i="4"/>
  <c r="R35" i="4"/>
  <c r="G76" i="5"/>
  <c r="G75" i="5"/>
  <c r="G71" i="5"/>
  <c r="G70" i="5" s="1"/>
  <c r="G76" i="4"/>
  <c r="G75" i="4"/>
  <c r="F39" i="4" l="1"/>
  <c r="F35" i="4"/>
  <c r="F75" i="4"/>
  <c r="F73" i="4"/>
  <c r="R39" i="2" l="1"/>
  <c r="R35" i="2"/>
  <c r="G76" i="2"/>
  <c r="G75" i="2"/>
  <c r="G9" i="3" l="1"/>
  <c r="W75" i="5" l="1"/>
  <c r="U75" i="5"/>
  <c r="W73" i="5"/>
  <c r="W71" i="5" s="1"/>
  <c r="W70" i="5" s="1"/>
  <c r="W66" i="5" s="1"/>
  <c r="U73" i="5"/>
  <c r="V71" i="5"/>
  <c r="U71" i="5"/>
  <c r="V70" i="5"/>
  <c r="V66" i="5" s="1"/>
  <c r="W64" i="5"/>
  <c r="V64" i="5"/>
  <c r="U64" i="5"/>
  <c r="W57" i="5"/>
  <c r="V57" i="5"/>
  <c r="U57" i="5"/>
  <c r="W53" i="5"/>
  <c r="V53" i="5"/>
  <c r="U53" i="5"/>
  <c r="W38" i="5"/>
  <c r="W34" i="5" s="1"/>
  <c r="V38" i="5"/>
  <c r="V34" i="5" s="1"/>
  <c r="U38" i="5"/>
  <c r="U34" i="5" s="1"/>
  <c r="W20" i="5"/>
  <c r="V20" i="5"/>
  <c r="U20" i="5"/>
  <c r="W15" i="5"/>
  <c r="V15" i="5"/>
  <c r="U15" i="5"/>
  <c r="W11" i="5"/>
  <c r="V11" i="5"/>
  <c r="W75" i="4"/>
  <c r="U75" i="4"/>
  <c r="W73" i="4"/>
  <c r="U73" i="4"/>
  <c r="U71" i="4" s="1"/>
  <c r="W71" i="4"/>
  <c r="V71" i="4"/>
  <c r="V70" i="4" s="1"/>
  <c r="V66" i="4" s="1"/>
  <c r="W70" i="4"/>
  <c r="W66" i="4" s="1"/>
  <c r="W64" i="4"/>
  <c r="V64" i="4"/>
  <c r="U64" i="4"/>
  <c r="W57" i="4"/>
  <c r="V57" i="4"/>
  <c r="U57" i="4"/>
  <c r="W53" i="4"/>
  <c r="V53" i="4"/>
  <c r="U53" i="4"/>
  <c r="W38" i="4"/>
  <c r="W34" i="4" s="1"/>
  <c r="V38" i="4"/>
  <c r="V34" i="4" s="1"/>
  <c r="U38" i="4"/>
  <c r="U34" i="4" s="1"/>
  <c r="W20" i="4"/>
  <c r="V20" i="4"/>
  <c r="U20" i="4"/>
  <c r="W15" i="4"/>
  <c r="V15" i="4"/>
  <c r="U15" i="4"/>
  <c r="W11" i="4"/>
  <c r="V11" i="4"/>
  <c r="W75" i="2"/>
  <c r="W73" i="2"/>
  <c r="U70" i="4" l="1"/>
  <c r="U66" i="4" s="1"/>
  <c r="U33" i="4" s="1"/>
  <c r="U14" i="4" s="1"/>
  <c r="U11" i="4" s="1"/>
  <c r="U8" i="4" s="1"/>
  <c r="U7" i="4" s="1"/>
  <c r="U70" i="5"/>
  <c r="U66" i="5" s="1"/>
  <c r="U33" i="5" s="1"/>
  <c r="U14" i="5" s="1"/>
  <c r="U11" i="5" s="1"/>
  <c r="U8" i="5" s="1"/>
  <c r="U7" i="5" s="1"/>
  <c r="V33" i="5"/>
  <c r="V9" i="5" s="1"/>
  <c r="V8" i="5" s="1"/>
  <c r="V7" i="5" s="1"/>
  <c r="W33" i="5"/>
  <c r="W9" i="5" s="1"/>
  <c r="W8" i="5" s="1"/>
  <c r="W7" i="5" s="1"/>
  <c r="V33" i="4"/>
  <c r="V9" i="4" s="1"/>
  <c r="V8" i="4" s="1"/>
  <c r="V7" i="4" s="1"/>
  <c r="W33" i="4"/>
  <c r="W9" i="4" s="1"/>
  <c r="W8" i="4" s="1"/>
  <c r="W7" i="4" s="1"/>
  <c r="F54" i="2"/>
  <c r="R38" i="5" l="1"/>
  <c r="R34" i="5" s="1"/>
  <c r="R15" i="5"/>
  <c r="R11" i="5"/>
  <c r="X71" i="5"/>
  <c r="X70" i="5" s="1"/>
  <c r="X66" i="5" s="1"/>
  <c r="F71" i="2"/>
  <c r="F70" i="2" s="1"/>
  <c r="L75" i="5"/>
  <c r="L73" i="5"/>
  <c r="K71" i="5"/>
  <c r="K70" i="5" s="1"/>
  <c r="K66" i="5" s="1"/>
  <c r="O71" i="5"/>
  <c r="J71" i="5"/>
  <c r="J70" i="5" s="1"/>
  <c r="I71" i="5"/>
  <c r="I70" i="5" s="1"/>
  <c r="I66" i="5" s="1"/>
  <c r="H71" i="5"/>
  <c r="H70" i="5" s="1"/>
  <c r="H66" i="5" s="1"/>
  <c r="G66" i="5"/>
  <c r="J66" i="5"/>
  <c r="L57" i="5"/>
  <c r="K57" i="5"/>
  <c r="O57" i="5"/>
  <c r="J57" i="5"/>
  <c r="I57" i="5"/>
  <c r="H57" i="5"/>
  <c r="G57" i="5"/>
  <c r="L53" i="5"/>
  <c r="K53" i="5"/>
  <c r="O53" i="5"/>
  <c r="J53" i="5"/>
  <c r="I53" i="5"/>
  <c r="H53" i="5"/>
  <c r="G53" i="5"/>
  <c r="L39" i="5"/>
  <c r="L38" i="5" s="1"/>
  <c r="K38" i="5"/>
  <c r="O38" i="5"/>
  <c r="O34" i="5" s="1"/>
  <c r="J38" i="5"/>
  <c r="J34" i="5" s="1"/>
  <c r="I38" i="5"/>
  <c r="I34" i="5" s="1"/>
  <c r="H38" i="5"/>
  <c r="H34" i="5" s="1"/>
  <c r="G38" i="5"/>
  <c r="G34" i="5" s="1"/>
  <c r="L35" i="5"/>
  <c r="K34" i="5"/>
  <c r="L15" i="5"/>
  <c r="K15" i="5"/>
  <c r="O15" i="5"/>
  <c r="J15" i="5"/>
  <c r="I15" i="5"/>
  <c r="H15" i="5"/>
  <c r="G15" i="5"/>
  <c r="L11" i="5"/>
  <c r="K11" i="5"/>
  <c r="O11" i="5"/>
  <c r="J11" i="5"/>
  <c r="I11" i="5"/>
  <c r="H11" i="5"/>
  <c r="G11" i="5"/>
  <c r="F21" i="5"/>
  <c r="F20" i="5" s="1"/>
  <c r="F15" i="5"/>
  <c r="O70" i="5" l="1"/>
  <c r="O66" i="5" s="1"/>
  <c r="O33" i="5" s="1"/>
  <c r="O21" i="5" s="1"/>
  <c r="O20" i="5" s="1"/>
  <c r="O8" i="5" s="1"/>
  <c r="J33" i="5"/>
  <c r="J21" i="5" s="1"/>
  <c r="J20" i="5" s="1"/>
  <c r="J8" i="5" s="1"/>
  <c r="F34" i="5"/>
  <c r="F33" i="5" s="1"/>
  <c r="F12" i="5" s="1"/>
  <c r="F11" i="5" s="1"/>
  <c r="F8" i="5" s="1"/>
  <c r="L71" i="5"/>
  <c r="L70" i="5" s="1"/>
  <c r="L66" i="5" s="1"/>
  <c r="G33" i="5"/>
  <c r="G21" i="5" s="1"/>
  <c r="G20" i="5" s="1"/>
  <c r="G8" i="5" s="1"/>
  <c r="H33" i="5"/>
  <c r="H21" i="5" s="1"/>
  <c r="H20" i="5" s="1"/>
  <c r="H8" i="5" s="1"/>
  <c r="K33" i="5"/>
  <c r="K21" i="5" s="1"/>
  <c r="K20" i="5" s="1"/>
  <c r="K8" i="5" s="1"/>
  <c r="K7" i="5" s="1"/>
  <c r="I33" i="5"/>
  <c r="I21" i="5" s="1"/>
  <c r="I20" i="5" s="1"/>
  <c r="I8" i="5" s="1"/>
  <c r="I7" i="5" s="1"/>
  <c r="F66" i="2"/>
  <c r="G19" i="3" s="1"/>
  <c r="L34" i="5"/>
  <c r="L33" i="5" s="1"/>
  <c r="L21" i="5" s="1"/>
  <c r="L20" i="5" s="1"/>
  <c r="L8" i="5" s="1"/>
  <c r="L7" i="5" s="1"/>
  <c r="E73" i="2"/>
  <c r="F60" i="7"/>
  <c r="E79" i="5"/>
  <c r="E78" i="5"/>
  <c r="E77" i="5"/>
  <c r="E76" i="5"/>
  <c r="E75" i="5"/>
  <c r="E74" i="5"/>
  <c r="E73" i="5"/>
  <c r="Y71" i="5"/>
  <c r="Y70" i="5" s="1"/>
  <c r="Y66" i="5" s="1"/>
  <c r="T71" i="5"/>
  <c r="T70" i="5" s="1"/>
  <c r="T66" i="5" s="1"/>
  <c r="S71" i="5"/>
  <c r="R71" i="5"/>
  <c r="R70" i="5" s="1"/>
  <c r="R66" i="5" s="1"/>
  <c r="Q71" i="5"/>
  <c r="Q70" i="5" s="1"/>
  <c r="Q66" i="5" s="1"/>
  <c r="P71" i="5"/>
  <c r="P70" i="5" s="1"/>
  <c r="P66" i="5" s="1"/>
  <c r="N71" i="5"/>
  <c r="M71" i="5"/>
  <c r="M70" i="5" s="1"/>
  <c r="M66" i="5" s="1"/>
  <c r="S70" i="5"/>
  <c r="S66" i="5" s="1"/>
  <c r="N70" i="5"/>
  <c r="I19" i="3"/>
  <c r="E69" i="5"/>
  <c r="E67" i="5"/>
  <c r="N66" i="5"/>
  <c r="E65" i="5"/>
  <c r="E64" i="5" s="1"/>
  <c r="E63" i="5"/>
  <c r="E62" i="5"/>
  <c r="E61" i="5"/>
  <c r="Y57" i="5"/>
  <c r="X57" i="5"/>
  <c r="T57" i="5"/>
  <c r="S57" i="5"/>
  <c r="R57" i="5"/>
  <c r="Q57" i="5"/>
  <c r="P57" i="5"/>
  <c r="N57" i="5"/>
  <c r="M57" i="5"/>
  <c r="E56" i="5"/>
  <c r="E55" i="5"/>
  <c r="E54" i="5"/>
  <c r="Y53" i="5"/>
  <c r="X53" i="5"/>
  <c r="T53" i="5"/>
  <c r="S53" i="5"/>
  <c r="R53" i="5"/>
  <c r="Q53" i="5"/>
  <c r="P53" i="5"/>
  <c r="N53" i="5"/>
  <c r="M53" i="5"/>
  <c r="E52" i="5"/>
  <c r="E51" i="5"/>
  <c r="E50" i="5"/>
  <c r="E49" i="5"/>
  <c r="E48" i="5"/>
  <c r="E47" i="5"/>
  <c r="E45" i="5"/>
  <c r="E44" i="5"/>
  <c r="E43" i="5"/>
  <c r="E42" i="5"/>
  <c r="E41" i="5"/>
  <c r="E40" i="5"/>
  <c r="Y38" i="5"/>
  <c r="Y34" i="5" s="1"/>
  <c r="X38" i="5"/>
  <c r="X34" i="5" s="1"/>
  <c r="X33" i="5" s="1"/>
  <c r="X24" i="5" s="1"/>
  <c r="T38" i="5"/>
  <c r="T34" i="5" s="1"/>
  <c r="S38" i="5"/>
  <c r="S34" i="5" s="1"/>
  <c r="Q38" i="5"/>
  <c r="Q34" i="5" s="1"/>
  <c r="P38" i="5"/>
  <c r="P34" i="5" s="1"/>
  <c r="N38" i="5"/>
  <c r="N34" i="5" s="1"/>
  <c r="N33" i="5" s="1"/>
  <c r="N21" i="5" s="1"/>
  <c r="N20" i="5" s="1"/>
  <c r="M38" i="5"/>
  <c r="M34" i="5" s="1"/>
  <c r="E37" i="5"/>
  <c r="E36" i="5"/>
  <c r="E35" i="5"/>
  <c r="T20" i="5"/>
  <c r="S20" i="5"/>
  <c r="Y15" i="5"/>
  <c r="X15" i="5"/>
  <c r="T15" i="5"/>
  <c r="S15" i="5"/>
  <c r="Q15" i="5"/>
  <c r="P15" i="5"/>
  <c r="N15" i="5"/>
  <c r="M15" i="5"/>
  <c r="E15" i="5"/>
  <c r="Y11" i="5"/>
  <c r="X11" i="5"/>
  <c r="S11" i="5"/>
  <c r="Q11" i="5"/>
  <c r="P11" i="5"/>
  <c r="N11" i="5"/>
  <c r="M11" i="5"/>
  <c r="E6" i="5"/>
  <c r="E79" i="4"/>
  <c r="E78" i="4"/>
  <c r="E77" i="4"/>
  <c r="E76" i="4"/>
  <c r="L75" i="4"/>
  <c r="E75" i="4" s="1"/>
  <c r="E74" i="4"/>
  <c r="L73" i="4"/>
  <c r="E73" i="4"/>
  <c r="Y71" i="4"/>
  <c r="X71" i="4"/>
  <c r="X70" i="4" s="1"/>
  <c r="X66" i="4" s="1"/>
  <c r="T71" i="4"/>
  <c r="T70" i="4" s="1"/>
  <c r="T66" i="4" s="1"/>
  <c r="S71" i="4"/>
  <c r="S70" i="4" s="1"/>
  <c r="S66" i="4" s="1"/>
  <c r="R71" i="4"/>
  <c r="R70" i="4" s="1"/>
  <c r="R66" i="4" s="1"/>
  <c r="Q71" i="4"/>
  <c r="Q70" i="4" s="1"/>
  <c r="Q66" i="4" s="1"/>
  <c r="P71" i="4"/>
  <c r="P70" i="4" s="1"/>
  <c r="P66" i="4" s="1"/>
  <c r="N71" i="4"/>
  <c r="N70" i="4" s="1"/>
  <c r="N66" i="4" s="1"/>
  <c r="M71" i="4"/>
  <c r="K71" i="4"/>
  <c r="K70" i="4" s="1"/>
  <c r="K66" i="4" s="1"/>
  <c r="O71" i="4"/>
  <c r="J71" i="4"/>
  <c r="I71" i="4"/>
  <c r="I70" i="4" s="1"/>
  <c r="I66" i="4" s="1"/>
  <c r="H71" i="4"/>
  <c r="H70" i="4" s="1"/>
  <c r="H66" i="4" s="1"/>
  <c r="G71" i="4"/>
  <c r="G70" i="4" s="1"/>
  <c r="F71" i="4"/>
  <c r="Y70" i="4"/>
  <c r="Y66" i="4" s="1"/>
  <c r="M70" i="4"/>
  <c r="M66" i="4" s="1"/>
  <c r="E69" i="4"/>
  <c r="E67" i="4"/>
  <c r="E65" i="4"/>
  <c r="E64" i="4" s="1"/>
  <c r="E63" i="4"/>
  <c r="E62" i="4"/>
  <c r="E61" i="4"/>
  <c r="Y57" i="4"/>
  <c r="X57" i="4"/>
  <c r="T57" i="4"/>
  <c r="S57" i="4"/>
  <c r="R57" i="4"/>
  <c r="Q57" i="4"/>
  <c r="P57" i="4"/>
  <c r="N57" i="4"/>
  <c r="M57" i="4"/>
  <c r="L57" i="4"/>
  <c r="K57" i="4"/>
  <c r="O57" i="4"/>
  <c r="J57" i="4"/>
  <c r="I57" i="4"/>
  <c r="H57" i="4"/>
  <c r="G57" i="4"/>
  <c r="F57" i="4"/>
  <c r="E56" i="4"/>
  <c r="E55" i="4"/>
  <c r="E54" i="4"/>
  <c r="Y53" i="4"/>
  <c r="X53" i="4"/>
  <c r="T53" i="4"/>
  <c r="S53" i="4"/>
  <c r="R53" i="4"/>
  <c r="Q53" i="4"/>
  <c r="P53" i="4"/>
  <c r="N53" i="4"/>
  <c r="M53" i="4"/>
  <c r="L53" i="4"/>
  <c r="K53" i="4"/>
  <c r="O53" i="4"/>
  <c r="J53" i="4"/>
  <c r="I53" i="4"/>
  <c r="H53" i="4"/>
  <c r="G53" i="4"/>
  <c r="F53" i="4"/>
  <c r="E52" i="4"/>
  <c r="E51" i="4"/>
  <c r="E50" i="4"/>
  <c r="E49" i="4"/>
  <c r="E48" i="4"/>
  <c r="E47" i="4"/>
  <c r="E45" i="4"/>
  <c r="E44" i="4"/>
  <c r="E43" i="4"/>
  <c r="E42" i="4"/>
  <c r="E41" i="4"/>
  <c r="E40" i="4"/>
  <c r="L39" i="4"/>
  <c r="L38" i="4" s="1"/>
  <c r="Y38" i="4"/>
  <c r="Y34" i="4" s="1"/>
  <c r="X38" i="4"/>
  <c r="X34" i="4" s="1"/>
  <c r="X33" i="4" s="1"/>
  <c r="X24" i="4" s="1"/>
  <c r="T38" i="4"/>
  <c r="T34" i="4" s="1"/>
  <c r="S38" i="4"/>
  <c r="R38" i="4"/>
  <c r="R34" i="4" s="1"/>
  <c r="Q38" i="4"/>
  <c r="Q34" i="4" s="1"/>
  <c r="P38" i="4"/>
  <c r="P34" i="4" s="1"/>
  <c r="N38" i="4"/>
  <c r="N34" i="4" s="1"/>
  <c r="M38" i="4"/>
  <c r="M34" i="4" s="1"/>
  <c r="K38" i="4"/>
  <c r="K34" i="4" s="1"/>
  <c r="O38" i="4"/>
  <c r="O34" i="4" s="1"/>
  <c r="J38" i="4"/>
  <c r="J34" i="4" s="1"/>
  <c r="I38" i="4"/>
  <c r="H38" i="4"/>
  <c r="H34" i="4" s="1"/>
  <c r="G38" i="4"/>
  <c r="G34" i="4" s="1"/>
  <c r="F38" i="4"/>
  <c r="F34" i="4" s="1"/>
  <c r="E37" i="4"/>
  <c r="E36" i="4"/>
  <c r="L35" i="4"/>
  <c r="S34" i="4"/>
  <c r="I34" i="4"/>
  <c r="F21" i="4"/>
  <c r="F20" i="4" s="1"/>
  <c r="T20" i="4"/>
  <c r="S20" i="4"/>
  <c r="Y15" i="4"/>
  <c r="X15" i="4"/>
  <c r="T15" i="4"/>
  <c r="S15" i="4"/>
  <c r="R15" i="4"/>
  <c r="Q15" i="4"/>
  <c r="P15" i="4"/>
  <c r="N15" i="4"/>
  <c r="M15" i="4"/>
  <c r="L15" i="4"/>
  <c r="K15" i="4"/>
  <c r="O15" i="4"/>
  <c r="J15" i="4"/>
  <c r="I15" i="4"/>
  <c r="H15" i="4"/>
  <c r="G15" i="4"/>
  <c r="F15" i="4"/>
  <c r="E15" i="4"/>
  <c r="Y11" i="4"/>
  <c r="X11" i="4"/>
  <c r="S11" i="4"/>
  <c r="S8" i="4" s="1"/>
  <c r="R11" i="4"/>
  <c r="Q11" i="4"/>
  <c r="P11" i="4"/>
  <c r="N11" i="4"/>
  <c r="M11" i="4"/>
  <c r="L11" i="4"/>
  <c r="K11" i="4"/>
  <c r="O11" i="4"/>
  <c r="J11" i="4"/>
  <c r="I11" i="4"/>
  <c r="H11" i="4"/>
  <c r="G11" i="4"/>
  <c r="E6" i="4"/>
  <c r="F82" i="7"/>
  <c r="G82" i="7"/>
  <c r="H82" i="7"/>
  <c r="F83" i="7"/>
  <c r="G83" i="7"/>
  <c r="H83" i="7"/>
  <c r="N33" i="4" l="1"/>
  <c r="N21" i="4" s="1"/>
  <c r="N20" i="4" s="1"/>
  <c r="E39" i="4"/>
  <c r="J70" i="4"/>
  <c r="J66" i="4" s="1"/>
  <c r="J33" i="4" s="1"/>
  <c r="J21" i="4" s="1"/>
  <c r="J20" i="4" s="1"/>
  <c r="J8" i="4" s="1"/>
  <c r="J7" i="4" s="1"/>
  <c r="Y33" i="4"/>
  <c r="Y24" i="4" s="1"/>
  <c r="Y20" i="4" s="1"/>
  <c r="O70" i="4"/>
  <c r="O66" i="4" s="1"/>
  <c r="O33" i="4" s="1"/>
  <c r="O21" i="4" s="1"/>
  <c r="O20" i="4" s="1"/>
  <c r="O8" i="4" s="1"/>
  <c r="O7" i="4" s="1"/>
  <c r="G66" i="4"/>
  <c r="F70" i="4"/>
  <c r="F66" i="4" s="1"/>
  <c r="H19" i="3" s="1"/>
  <c r="E38" i="4"/>
  <c r="E46" i="4"/>
  <c r="E35" i="4"/>
  <c r="T33" i="4"/>
  <c r="T14" i="4" s="1"/>
  <c r="K33" i="4"/>
  <c r="K21" i="4" s="1"/>
  <c r="K20" i="4" s="1"/>
  <c r="S33" i="5"/>
  <c r="P33" i="4"/>
  <c r="P21" i="4" s="1"/>
  <c r="P20" i="4" s="1"/>
  <c r="L71" i="4"/>
  <c r="L70" i="4" s="1"/>
  <c r="L66" i="4" s="1"/>
  <c r="Q33" i="4"/>
  <c r="Q21" i="4" s="1"/>
  <c r="Q20" i="4" s="1"/>
  <c r="H33" i="4"/>
  <c r="H21" i="4" s="1"/>
  <c r="H20" i="4" s="1"/>
  <c r="E39" i="5"/>
  <c r="E38" i="5" s="1"/>
  <c r="E34" i="5" s="1"/>
  <c r="I33" i="4"/>
  <c r="I21" i="4" s="1"/>
  <c r="I20" i="4" s="1"/>
  <c r="R33" i="4"/>
  <c r="R21" i="4" s="1"/>
  <c r="R20" i="4" s="1"/>
  <c r="R8" i="4" s="1"/>
  <c r="R7" i="4" s="1"/>
  <c r="R33" i="5"/>
  <c r="R21" i="5" s="1"/>
  <c r="R20" i="5" s="1"/>
  <c r="R8" i="5" s="1"/>
  <c r="R7" i="5" s="1"/>
  <c r="E57" i="5"/>
  <c r="S8" i="5"/>
  <c r="S7" i="5" s="1"/>
  <c r="E53" i="5"/>
  <c r="P33" i="5"/>
  <c r="P21" i="5" s="1"/>
  <c r="P20" i="5" s="1"/>
  <c r="P8" i="5" s="1"/>
  <c r="P7" i="5" s="1"/>
  <c r="Q33" i="5"/>
  <c r="Q21" i="5" s="1"/>
  <c r="Q20" i="5" s="1"/>
  <c r="Q8" i="5" s="1"/>
  <c r="Q7" i="5" s="1"/>
  <c r="Y33" i="5"/>
  <c r="Y24" i="5" s="1"/>
  <c r="Y20" i="5" s="1"/>
  <c r="Y8" i="5" s="1"/>
  <c r="Y7" i="5" s="1"/>
  <c r="N8" i="5"/>
  <c r="N7" i="5" s="1"/>
  <c r="M33" i="5"/>
  <c r="M21" i="5" s="1"/>
  <c r="M20" i="5" s="1"/>
  <c r="Q8" i="4"/>
  <c r="Q7" i="4" s="1"/>
  <c r="E53" i="4"/>
  <c r="E57" i="4"/>
  <c r="L34" i="4"/>
  <c r="L33" i="4" s="1"/>
  <c r="L21" i="4" s="1"/>
  <c r="L20" i="4" s="1"/>
  <c r="L8" i="4" s="1"/>
  <c r="L7" i="4" s="1"/>
  <c r="N8" i="4"/>
  <c r="N7" i="4" s="1"/>
  <c r="P8" i="4"/>
  <c r="P7" i="4" s="1"/>
  <c r="Y8" i="4"/>
  <c r="Y7" i="4" s="1"/>
  <c r="I8" i="4"/>
  <c r="I7" i="4" s="1"/>
  <c r="S33" i="4"/>
  <c r="S7" i="4" s="1"/>
  <c r="M33" i="4"/>
  <c r="M21" i="4" s="1"/>
  <c r="M20" i="4" s="1"/>
  <c r="M8" i="4" s="1"/>
  <c r="M7" i="4" s="1"/>
  <c r="H8" i="4"/>
  <c r="H7" i="4" s="1"/>
  <c r="K8" i="4"/>
  <c r="K7" i="4" s="1"/>
  <c r="E71" i="5"/>
  <c r="E46" i="5"/>
  <c r="E71" i="4"/>
  <c r="H41" i="3"/>
  <c r="E12" i="5"/>
  <c r="F7" i="5"/>
  <c r="J7" i="5"/>
  <c r="M8" i="5"/>
  <c r="M7" i="5" s="1"/>
  <c r="E70" i="5"/>
  <c r="E66" i="5" s="1"/>
  <c r="I41" i="3"/>
  <c r="T33" i="5"/>
  <c r="T14" i="5" s="1"/>
  <c r="E24" i="5"/>
  <c r="X20" i="5"/>
  <c r="X8" i="5" s="1"/>
  <c r="X7" i="5" s="1"/>
  <c r="G7" i="5"/>
  <c r="O7" i="5"/>
  <c r="T11" i="4"/>
  <c r="T8" i="4" s="1"/>
  <c r="T7" i="4" s="1"/>
  <c r="E24" i="4"/>
  <c r="X20" i="4"/>
  <c r="X8" i="4" s="1"/>
  <c r="X7" i="4" s="1"/>
  <c r="E70" i="4"/>
  <c r="E66" i="4" s="1"/>
  <c r="G33" i="4" l="1"/>
  <c r="G21" i="4" s="1"/>
  <c r="G20" i="4" s="1"/>
  <c r="G8" i="4" s="1"/>
  <c r="G7" i="4" s="1"/>
  <c r="H28" i="3"/>
  <c r="H45" i="3" s="1"/>
  <c r="F33" i="4"/>
  <c r="F12" i="4" s="1"/>
  <c r="F11" i="4" s="1"/>
  <c r="F8" i="4" s="1"/>
  <c r="F7" i="4" s="1"/>
  <c r="E34" i="4"/>
  <c r="E33" i="4" s="1"/>
  <c r="E9" i="5"/>
  <c r="E14" i="4"/>
  <c r="E33" i="5"/>
  <c r="E9" i="4"/>
  <c r="I28" i="3"/>
  <c r="I45" i="3" s="1"/>
  <c r="E14" i="5"/>
  <c r="E11" i="5" s="1"/>
  <c r="T11" i="5"/>
  <c r="T8" i="5" s="1"/>
  <c r="T7" i="5" s="1"/>
  <c r="Q71" i="2"/>
  <c r="R71" i="2"/>
  <c r="R70" i="2" s="1"/>
  <c r="R66" i="2" s="1"/>
  <c r="Q57" i="2"/>
  <c r="R57" i="2"/>
  <c r="Q53" i="2"/>
  <c r="R53" i="2"/>
  <c r="Q38" i="2"/>
  <c r="Q34" i="2" s="1"/>
  <c r="R38" i="2"/>
  <c r="R34" i="2" s="1"/>
  <c r="Q15" i="2"/>
  <c r="R15" i="2"/>
  <c r="Q11" i="2"/>
  <c r="R11" i="2"/>
  <c r="L75" i="2"/>
  <c r="L73" i="2"/>
  <c r="L71" i="2" s="1"/>
  <c r="L70" i="2" s="1"/>
  <c r="L38" i="2"/>
  <c r="L35" i="2"/>
  <c r="L11" i="2"/>
  <c r="L15" i="2"/>
  <c r="L53" i="2"/>
  <c r="L57" i="2"/>
  <c r="E21" i="4" l="1"/>
  <c r="E20" i="4" s="1"/>
  <c r="E12" i="4"/>
  <c r="E11" i="4"/>
  <c r="Q70" i="2"/>
  <c r="Q66" i="2" s="1"/>
  <c r="Q33" i="2" s="1"/>
  <c r="Q21" i="2" s="1"/>
  <c r="Q20" i="2" s="1"/>
  <c r="Q8" i="2" s="1"/>
  <c r="Q7" i="2" s="1"/>
  <c r="H7" i="5"/>
  <c r="E21" i="5"/>
  <c r="E20" i="5" s="1"/>
  <c r="E8" i="5" s="1"/>
  <c r="E7" i="5" s="1"/>
  <c r="R33" i="2"/>
  <c r="R21" i="2" s="1"/>
  <c r="R20" i="2" s="1"/>
  <c r="R8" i="2" s="1"/>
  <c r="R7" i="2" s="1"/>
  <c r="E75" i="2"/>
  <c r="L34" i="2"/>
  <c r="L66" i="2"/>
  <c r="E8" i="4" l="1"/>
  <c r="E7" i="4" s="1"/>
  <c r="L33" i="2"/>
  <c r="L21" i="2" s="1"/>
  <c r="L20" i="2" s="1"/>
  <c r="L8" i="2" s="1"/>
  <c r="L7" i="2" s="1"/>
  <c r="K11" i="2"/>
  <c r="K15" i="2"/>
  <c r="K38" i="2"/>
  <c r="K34" i="2" s="1"/>
  <c r="K53" i="2"/>
  <c r="K57" i="2"/>
  <c r="K71" i="2"/>
  <c r="K70" i="2" s="1"/>
  <c r="O11" i="2"/>
  <c r="O15" i="2"/>
  <c r="O38" i="2"/>
  <c r="O34" i="2" s="1"/>
  <c r="O53" i="2"/>
  <c r="O57" i="2"/>
  <c r="O71" i="2"/>
  <c r="O70" i="2" l="1"/>
  <c r="O66" i="2" s="1"/>
  <c r="O33" i="2" s="1"/>
  <c r="O21" i="2" s="1"/>
  <c r="O20" i="2" s="1"/>
  <c r="O8" i="2" s="1"/>
  <c r="O7" i="2" s="1"/>
  <c r="E76" i="2"/>
  <c r="K66" i="2" l="1"/>
  <c r="G10" i="7"/>
  <c r="H10" i="7"/>
  <c r="G13" i="7"/>
  <c r="H13" i="7"/>
  <c r="G16" i="7"/>
  <c r="H16" i="7"/>
  <c r="G17" i="7"/>
  <c r="H17" i="7"/>
  <c r="G18" i="7"/>
  <c r="H18" i="7"/>
  <c r="G19" i="7"/>
  <c r="H19" i="7"/>
  <c r="G22" i="7"/>
  <c r="H22" i="7"/>
  <c r="G23" i="7"/>
  <c r="H23" i="7"/>
  <c r="G25" i="7"/>
  <c r="H25" i="7"/>
  <c r="G26" i="7"/>
  <c r="H26" i="7"/>
  <c r="G27" i="7"/>
  <c r="H27" i="7"/>
  <c r="G28" i="7"/>
  <c r="H28" i="7"/>
  <c r="G29" i="7"/>
  <c r="H29" i="7"/>
  <c r="G30" i="7"/>
  <c r="H30" i="7"/>
  <c r="G31" i="7"/>
  <c r="H31" i="7"/>
  <c r="G32" i="7"/>
  <c r="H32" i="7"/>
  <c r="G58" i="7"/>
  <c r="H58" i="7"/>
  <c r="G59" i="7"/>
  <c r="H59" i="7"/>
  <c r="G60" i="7"/>
  <c r="H60" i="7"/>
  <c r="G68" i="7"/>
  <c r="H68" i="7"/>
  <c r="G72" i="7"/>
  <c r="H72" i="7"/>
  <c r="G80" i="7"/>
  <c r="H80" i="7"/>
  <c r="G81" i="7"/>
  <c r="H81" i="7"/>
  <c r="G84" i="7"/>
  <c r="H84" i="7"/>
  <c r="G85" i="7"/>
  <c r="H85" i="7"/>
  <c r="G86" i="7"/>
  <c r="H86" i="7"/>
  <c r="G87" i="7"/>
  <c r="H87" i="7"/>
  <c r="G88" i="7"/>
  <c r="H88" i="7"/>
  <c r="J45" i="3"/>
  <c r="J44" i="3" s="1"/>
  <c r="J43" i="3"/>
  <c r="J42" i="3" s="1"/>
  <c r="I36" i="3"/>
  <c r="H36" i="3"/>
  <c r="J36" i="3"/>
  <c r="J32" i="3"/>
  <c r="I32" i="3"/>
  <c r="H32" i="3"/>
  <c r="G32" i="3"/>
  <c r="J24" i="3"/>
  <c r="I15" i="3"/>
  <c r="H15" i="3"/>
  <c r="J15" i="3"/>
  <c r="H79" i="7"/>
  <c r="H78" i="7"/>
  <c r="H77" i="7"/>
  <c r="H76" i="7"/>
  <c r="H75" i="7"/>
  <c r="H74" i="7"/>
  <c r="H73" i="7"/>
  <c r="H69" i="7"/>
  <c r="H67" i="7"/>
  <c r="H63" i="7"/>
  <c r="H62" i="7"/>
  <c r="H61" i="7"/>
  <c r="H55" i="7"/>
  <c r="H54" i="7"/>
  <c r="H51" i="7"/>
  <c r="H50" i="7"/>
  <c r="H49" i="7"/>
  <c r="H48" i="7"/>
  <c r="H47" i="7"/>
  <c r="H45" i="7"/>
  <c r="H44" i="7"/>
  <c r="H43" i="7"/>
  <c r="H42" i="7"/>
  <c r="H41" i="7"/>
  <c r="H40" i="7"/>
  <c r="H38" i="7"/>
  <c r="H36" i="7"/>
  <c r="H15" i="7"/>
  <c r="G79" i="7"/>
  <c r="G78" i="7"/>
  <c r="G77" i="7"/>
  <c r="G76" i="7"/>
  <c r="G75" i="7"/>
  <c r="G74" i="7"/>
  <c r="G69" i="7"/>
  <c r="G67" i="7"/>
  <c r="G63" i="7"/>
  <c r="G62" i="7"/>
  <c r="G61" i="7"/>
  <c r="G57" i="7"/>
  <c r="G55" i="7"/>
  <c r="G54" i="7"/>
  <c r="G51" i="7"/>
  <c r="G50" i="7"/>
  <c r="G49" i="7"/>
  <c r="G48" i="7"/>
  <c r="G47" i="7"/>
  <c r="G45" i="7"/>
  <c r="G44" i="7"/>
  <c r="G43" i="7"/>
  <c r="G42" i="7"/>
  <c r="G41" i="7"/>
  <c r="G40" i="7"/>
  <c r="G39" i="7"/>
  <c r="G36" i="7"/>
  <c r="G15" i="7"/>
  <c r="E77" i="2"/>
  <c r="F77" i="7" s="1"/>
  <c r="E78" i="2"/>
  <c r="G71" i="7" l="1"/>
  <c r="H46" i="7"/>
  <c r="G46" i="7"/>
  <c r="G73" i="7"/>
  <c r="E35" i="2"/>
  <c r="H53" i="7"/>
  <c r="E39" i="2"/>
  <c r="K33" i="2"/>
  <c r="K21" i="2" s="1"/>
  <c r="H44" i="3"/>
  <c r="H71" i="7"/>
  <c r="H39" i="7"/>
  <c r="H34" i="7"/>
  <c r="H35" i="7"/>
  <c r="G38" i="7"/>
  <c r="G35" i="7"/>
  <c r="H14" i="7"/>
  <c r="H24" i="7"/>
  <c r="H9" i="7"/>
  <c r="H57" i="7"/>
  <c r="G12" i="7"/>
  <c r="G53" i="7"/>
  <c r="J14" i="3"/>
  <c r="J5" i="3" s="1"/>
  <c r="G14" i="7"/>
  <c r="G9" i="7"/>
  <c r="G24" i="7"/>
  <c r="K20" i="2" l="1"/>
  <c r="K8" i="2" s="1"/>
  <c r="K7" i="2" s="1"/>
  <c r="G21" i="7"/>
  <c r="AV12" i="7" s="1"/>
  <c r="H24" i="3"/>
  <c r="H14" i="3" s="1"/>
  <c r="H5" i="3" s="1"/>
  <c r="I43" i="3"/>
  <c r="I42" i="3" s="1"/>
  <c r="H43" i="3"/>
  <c r="H42" i="3" s="1"/>
  <c r="G34" i="7"/>
  <c r="G11" i="7"/>
  <c r="I44" i="3" l="1"/>
  <c r="I24" i="3"/>
  <c r="I14" i="3" s="1"/>
  <c r="I5" i="3" s="1"/>
  <c r="G20" i="7"/>
  <c r="G15" i="3"/>
  <c r="H20" i="7"/>
  <c r="H21" i="7"/>
  <c r="H11" i="7"/>
  <c r="H12" i="7"/>
  <c r="AW12" i="7" s="1"/>
  <c r="F78" i="7"/>
  <c r="H56" i="7"/>
  <c r="H52" i="7"/>
  <c r="G8" i="7" l="1"/>
  <c r="H66" i="7"/>
  <c r="H70" i="7"/>
  <c r="H8" i="7"/>
  <c r="H37" i="7"/>
  <c r="I71" i="2"/>
  <c r="M71" i="2"/>
  <c r="N71" i="2"/>
  <c r="N70" i="2" s="1"/>
  <c r="N66" i="2" s="1"/>
  <c r="P71" i="2"/>
  <c r="J71" i="2"/>
  <c r="J70" i="2" s="1"/>
  <c r="S71" i="2"/>
  <c r="T71" i="2"/>
  <c r="T70" i="2" s="1"/>
  <c r="U71" i="2"/>
  <c r="U70" i="2" s="1"/>
  <c r="V71" i="2"/>
  <c r="V70" i="2" s="1"/>
  <c r="W71" i="2"/>
  <c r="W70" i="2" s="1"/>
  <c r="X71" i="2"/>
  <c r="E69" i="2"/>
  <c r="J66" i="2" l="1"/>
  <c r="X70" i="2"/>
  <c r="X66" i="2" s="1"/>
  <c r="P70" i="2"/>
  <c r="P66" i="2" s="1"/>
  <c r="S70" i="2"/>
  <c r="S66" i="2" s="1"/>
  <c r="M70" i="2"/>
  <c r="M66" i="2" s="1"/>
  <c r="V66" i="2"/>
  <c r="W66" i="2"/>
  <c r="H64" i="7"/>
  <c r="H65" i="7"/>
  <c r="T66" i="2"/>
  <c r="U66" i="2"/>
  <c r="H33" i="7"/>
  <c r="H6" i="7"/>
  <c r="U64" i="2"/>
  <c r="S20" i="2"/>
  <c r="T20" i="2"/>
  <c r="U20" i="2"/>
  <c r="V20" i="2"/>
  <c r="W20" i="2"/>
  <c r="Y11" i="2"/>
  <c r="Y15" i="2"/>
  <c r="Y38" i="2"/>
  <c r="Y34" i="2" s="1"/>
  <c r="Y53" i="2"/>
  <c r="Y57" i="2"/>
  <c r="Y71" i="2"/>
  <c r="Y70" i="2" s="1"/>
  <c r="Y66" i="2" s="1"/>
  <c r="G37" i="7"/>
  <c r="G52" i="7"/>
  <c r="G56" i="7"/>
  <c r="J11" i="2"/>
  <c r="J15" i="2"/>
  <c r="J38" i="2"/>
  <c r="J34" i="2" s="1"/>
  <c r="J53" i="2"/>
  <c r="J57" i="2"/>
  <c r="E6" i="2"/>
  <c r="G41" i="3" l="1"/>
  <c r="H7" i="7"/>
  <c r="Y33" i="2"/>
  <c r="Y24" i="2" s="1"/>
  <c r="Y20" i="2" s="1"/>
  <c r="Y8" i="2" s="1"/>
  <c r="Y7" i="2" s="1"/>
  <c r="J33" i="2"/>
  <c r="J21" i="2" s="1"/>
  <c r="E79" i="2"/>
  <c r="H71" i="2"/>
  <c r="E74" i="2"/>
  <c r="G71" i="2"/>
  <c r="E67" i="2"/>
  <c r="E65" i="2"/>
  <c r="E64" i="2" s="1"/>
  <c r="W64" i="2"/>
  <c r="V64" i="2"/>
  <c r="E63" i="2"/>
  <c r="E62" i="2"/>
  <c r="E61" i="2"/>
  <c r="X57" i="2"/>
  <c r="W57" i="2"/>
  <c r="V57" i="2"/>
  <c r="U57" i="2"/>
  <c r="T57" i="2"/>
  <c r="S57" i="2"/>
  <c r="P57" i="2"/>
  <c r="N57" i="2"/>
  <c r="M57" i="2"/>
  <c r="I57" i="2"/>
  <c r="H57" i="2"/>
  <c r="G57" i="2"/>
  <c r="F57" i="2"/>
  <c r="E56" i="2"/>
  <c r="F58" i="7" s="1"/>
  <c r="E55" i="2"/>
  <c r="E54" i="2"/>
  <c r="X53" i="2"/>
  <c r="W53" i="2"/>
  <c r="V53" i="2"/>
  <c r="U53" i="2"/>
  <c r="T53" i="2"/>
  <c r="S53" i="2"/>
  <c r="P53" i="2"/>
  <c r="N53" i="2"/>
  <c r="M53" i="2"/>
  <c r="I53" i="2"/>
  <c r="H53" i="2"/>
  <c r="G53" i="2"/>
  <c r="F53" i="2"/>
  <c r="E52" i="2"/>
  <c r="E51" i="2"/>
  <c r="E50" i="2"/>
  <c r="E49" i="2"/>
  <c r="E48" i="2"/>
  <c r="E47" i="2"/>
  <c r="E45" i="2"/>
  <c r="E44" i="2"/>
  <c r="E43" i="2"/>
  <c r="E42" i="2"/>
  <c r="E41" i="2"/>
  <c r="E40" i="2"/>
  <c r="E38" i="2" s="1"/>
  <c r="X38" i="2"/>
  <c r="X34" i="2" s="1"/>
  <c r="W38" i="2"/>
  <c r="W34" i="2" s="1"/>
  <c r="V38" i="2"/>
  <c r="V34" i="2" s="1"/>
  <c r="U38" i="2"/>
  <c r="U34" i="2" s="1"/>
  <c r="T38" i="2"/>
  <c r="T34" i="2" s="1"/>
  <c r="S38" i="2"/>
  <c r="S34" i="2" s="1"/>
  <c r="P38" i="2"/>
  <c r="N38" i="2"/>
  <c r="N34" i="2" s="1"/>
  <c r="M38" i="2"/>
  <c r="M34" i="2" s="1"/>
  <c r="I38" i="2"/>
  <c r="I34" i="2" s="1"/>
  <c r="H38" i="2"/>
  <c r="H34" i="2" s="1"/>
  <c r="G38" i="2"/>
  <c r="G34" i="2" s="1"/>
  <c r="E37" i="2"/>
  <c r="E36" i="2"/>
  <c r="F21" i="2"/>
  <c r="X15" i="2"/>
  <c r="W15" i="2"/>
  <c r="V15" i="2"/>
  <c r="U15" i="2"/>
  <c r="T15" i="2"/>
  <c r="S15" i="2"/>
  <c r="P15" i="2"/>
  <c r="N15" i="2"/>
  <c r="M15" i="2"/>
  <c r="I15" i="2"/>
  <c r="H15" i="2"/>
  <c r="G15" i="2"/>
  <c r="F15" i="2"/>
  <c r="E15" i="2"/>
  <c r="X11" i="2"/>
  <c r="W11" i="2"/>
  <c r="V11" i="2"/>
  <c r="S11" i="2"/>
  <c r="P11" i="2"/>
  <c r="N11" i="2"/>
  <c r="M11" i="2"/>
  <c r="I11" i="2"/>
  <c r="H11" i="2"/>
  <c r="G11" i="2"/>
  <c r="G36" i="3" l="1"/>
  <c r="H70" i="2"/>
  <c r="H66" i="2" s="1"/>
  <c r="H33" i="2" s="1"/>
  <c r="H21" i="2" s="1"/>
  <c r="G66" i="2"/>
  <c r="E34" i="2"/>
  <c r="F20" i="2"/>
  <c r="I66" i="2"/>
  <c r="I33" i="2" s="1"/>
  <c r="I21" i="2" s="1"/>
  <c r="I20" i="2" s="1"/>
  <c r="I8" i="2" s="1"/>
  <c r="I7" i="2" s="1"/>
  <c r="G66" i="7"/>
  <c r="G70" i="7"/>
  <c r="G6" i="7"/>
  <c r="E71" i="2"/>
  <c r="J20" i="2"/>
  <c r="J8" i="2" s="1"/>
  <c r="J7" i="2" s="1"/>
  <c r="E57" i="2"/>
  <c r="F57" i="7" s="1"/>
  <c r="S8" i="2"/>
  <c r="N33" i="2"/>
  <c r="N21" i="2" s="1"/>
  <c r="E46" i="2"/>
  <c r="W33" i="2"/>
  <c r="W9" i="2" s="1"/>
  <c r="W8" i="2" s="1"/>
  <c r="W7" i="2" s="1"/>
  <c r="S33" i="2"/>
  <c r="T33" i="2"/>
  <c r="T14" i="2" s="1"/>
  <c r="X33" i="2"/>
  <c r="X24" i="2" s="1"/>
  <c r="F38" i="2"/>
  <c r="F34" i="2" s="1"/>
  <c r="V33" i="2"/>
  <c r="E53" i="2"/>
  <c r="P34" i="2"/>
  <c r="P33" i="2" s="1"/>
  <c r="P21" i="2" s="1"/>
  <c r="G28" i="3" l="1"/>
  <c r="E70" i="2"/>
  <c r="E66" i="2" s="1"/>
  <c r="E33" i="2" s="1"/>
  <c r="G64" i="7"/>
  <c r="G65" i="7"/>
  <c r="G33" i="2"/>
  <c r="G21" i="2" s="1"/>
  <c r="E21" i="2" s="1"/>
  <c r="G43" i="3"/>
  <c r="G42" i="3" s="1"/>
  <c r="H20" i="2"/>
  <c r="H8" i="2" s="1"/>
  <c r="H7" i="2" s="1"/>
  <c r="N20" i="2"/>
  <c r="N8" i="2" s="1"/>
  <c r="N7" i="2" s="1"/>
  <c r="X20" i="2"/>
  <c r="X8" i="2" s="1"/>
  <c r="X7" i="2" s="1"/>
  <c r="E24" i="2"/>
  <c r="P20" i="2"/>
  <c r="P8" i="2" s="1"/>
  <c r="P7" i="2" s="1"/>
  <c r="S7" i="2"/>
  <c r="T11" i="2"/>
  <c r="M33" i="2"/>
  <c r="M21" i="2" s="1"/>
  <c r="U33" i="2"/>
  <c r="U14" i="2" s="1"/>
  <c r="V9" i="2"/>
  <c r="G45" i="3" l="1"/>
  <c r="G44" i="3" s="1"/>
  <c r="G24" i="3"/>
  <c r="G14" i="3" s="1"/>
  <c r="G5" i="3" s="1"/>
  <c r="G20" i="2"/>
  <c r="G8" i="2" s="1"/>
  <c r="G7" i="2" s="1"/>
  <c r="E20" i="2"/>
  <c r="G33" i="7"/>
  <c r="E14" i="2"/>
  <c r="M20" i="2"/>
  <c r="M8" i="2" s="1"/>
  <c r="M7" i="2" s="1"/>
  <c r="T8" i="2"/>
  <c r="T7" i="2" s="1"/>
  <c r="E9" i="2"/>
  <c r="V8" i="2"/>
  <c r="V7" i="2" s="1"/>
  <c r="F33" i="2"/>
  <c r="G7" i="7" l="1"/>
  <c r="U11" i="2"/>
  <c r="U8" i="2" s="1"/>
  <c r="U7" i="2" s="1"/>
  <c r="F12" i="2"/>
  <c r="E12" i="2" s="1"/>
  <c r="E11" i="2" s="1"/>
  <c r="E8" i="2" s="1"/>
  <c r="F11" i="2" l="1"/>
  <c r="F8" i="2" s="1"/>
  <c r="F7" i="2" s="1"/>
  <c r="E7" i="2"/>
  <c r="E78" i="6"/>
  <c r="E65" i="6"/>
  <c r="E63" i="6"/>
  <c r="E56" i="6"/>
  <c r="E52" i="6"/>
  <c r="E45" i="6"/>
  <c r="E37" i="6"/>
  <c r="E33" i="6" s="1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V20" i="6"/>
  <c r="U20" i="6"/>
  <c r="T20" i="6"/>
  <c r="T19" i="6" s="1"/>
  <c r="S20" i="6"/>
  <c r="R20" i="6"/>
  <c r="R19" i="6" s="1"/>
  <c r="Q20" i="6"/>
  <c r="P20" i="6"/>
  <c r="P19" i="6" s="1"/>
  <c r="O20" i="6"/>
  <c r="N20" i="6"/>
  <c r="M20" i="6"/>
  <c r="L20" i="6"/>
  <c r="L19" i="6" s="1"/>
  <c r="K20" i="6"/>
  <c r="K19" i="6" s="1"/>
  <c r="J20" i="6"/>
  <c r="J19" i="6" s="1"/>
  <c r="I20" i="6"/>
  <c r="H20" i="6"/>
  <c r="H19" i="6" s="1"/>
  <c r="G20" i="6"/>
  <c r="F20" i="6"/>
  <c r="E20" i="6"/>
  <c r="V19" i="6"/>
  <c r="U19" i="6"/>
  <c r="S19" i="6"/>
  <c r="Q19" i="6"/>
  <c r="O19" i="6"/>
  <c r="N19" i="6"/>
  <c r="M19" i="6"/>
  <c r="I19" i="6"/>
  <c r="G19" i="6"/>
  <c r="F19" i="6"/>
  <c r="E19" i="6"/>
  <c r="V14" i="6"/>
  <c r="U14" i="6"/>
  <c r="U7" i="6" s="1"/>
  <c r="U6" i="6" s="1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V10" i="6"/>
  <c r="U10" i="6"/>
  <c r="T10" i="6"/>
  <c r="T7" i="6" s="1"/>
  <c r="T6" i="6" s="1"/>
  <c r="S10" i="6"/>
  <c r="R10" i="6"/>
  <c r="Q10" i="6"/>
  <c r="P10" i="6"/>
  <c r="O10" i="6"/>
  <c r="O7" i="6" s="1"/>
  <c r="O6" i="6" s="1"/>
  <c r="N10" i="6"/>
  <c r="N7" i="6" s="1"/>
  <c r="N6" i="6" s="1"/>
  <c r="M10" i="6"/>
  <c r="L10" i="6"/>
  <c r="L7" i="6" s="1"/>
  <c r="L6" i="6" s="1"/>
  <c r="K10" i="6"/>
  <c r="K7" i="6" s="1"/>
  <c r="K6" i="6" s="1"/>
  <c r="J10" i="6"/>
  <c r="I10" i="6"/>
  <c r="H10" i="6"/>
  <c r="G10" i="6"/>
  <c r="G7" i="6" s="1"/>
  <c r="G6" i="6" s="1"/>
  <c r="F10" i="6"/>
  <c r="F7" i="6" s="1"/>
  <c r="F6" i="6" s="1"/>
  <c r="E10" i="6"/>
  <c r="Q7" i="6"/>
  <c r="P7" i="6"/>
  <c r="P6" i="6" s="1"/>
  <c r="I7" i="6"/>
  <c r="H7" i="6"/>
  <c r="H6" i="6" s="1"/>
  <c r="F45" i="7"/>
  <c r="F10" i="7"/>
  <c r="F16" i="7"/>
  <c r="F17" i="7"/>
  <c r="F18" i="7"/>
  <c r="F19" i="7"/>
  <c r="F22" i="7"/>
  <c r="F23" i="7"/>
  <c r="F24" i="7"/>
  <c r="F25" i="7"/>
  <c r="F27" i="7"/>
  <c r="F28" i="7"/>
  <c r="F29" i="7"/>
  <c r="F30" i="7"/>
  <c r="F31" i="7"/>
  <c r="F32" i="7"/>
  <c r="F72" i="7"/>
  <c r="F80" i="7"/>
  <c r="F81" i="7"/>
  <c r="F84" i="7"/>
  <c r="F85" i="7"/>
  <c r="F86" i="7"/>
  <c r="F87" i="7"/>
  <c r="F88" i="7"/>
  <c r="F6" i="7"/>
  <c r="F79" i="7"/>
  <c r="F75" i="7"/>
  <c r="F74" i="7"/>
  <c r="F73" i="7"/>
  <c r="F69" i="7"/>
  <c r="F67" i="7"/>
  <c r="F65" i="7"/>
  <c r="F63" i="7"/>
  <c r="F62" i="7"/>
  <c r="F61" i="7"/>
  <c r="F56" i="7"/>
  <c r="F55" i="7"/>
  <c r="F54" i="7"/>
  <c r="F52" i="7"/>
  <c r="F51" i="7"/>
  <c r="F50" i="7"/>
  <c r="F49" i="7"/>
  <c r="F48" i="7"/>
  <c r="F44" i="7"/>
  <c r="F43" i="7"/>
  <c r="F42" i="7"/>
  <c r="F41" i="7"/>
  <c r="F40" i="7"/>
  <c r="F37" i="7"/>
  <c r="F36" i="7"/>
  <c r="F35" i="7"/>
  <c r="F15" i="7"/>
  <c r="F13" i="7"/>
  <c r="E7" i="6" l="1"/>
  <c r="M7" i="6"/>
  <c r="M6" i="6" s="1"/>
  <c r="S7" i="6"/>
  <c r="S6" i="6" s="1"/>
  <c r="J7" i="6"/>
  <c r="J6" i="6" s="1"/>
  <c r="R7" i="6"/>
  <c r="R6" i="6" s="1"/>
  <c r="I6" i="6"/>
  <c r="Q6" i="6"/>
  <c r="E32" i="6"/>
  <c r="E6" i="6" s="1"/>
  <c r="V7" i="6"/>
  <c r="F76" i="7"/>
  <c r="F64" i="7"/>
  <c r="F53" i="7"/>
  <c r="F59" i="7"/>
  <c r="F46" i="7"/>
  <c r="F47" i="7"/>
  <c r="F38" i="7"/>
  <c r="F39" i="7"/>
  <c r="F70" i="7"/>
  <c r="F71" i="7"/>
  <c r="F34" i="7" l="1"/>
  <c r="F9" i="7"/>
  <c r="F66" i="7"/>
  <c r="I9" i="7"/>
  <c r="I10" i="7"/>
  <c r="I12" i="7"/>
  <c r="I13" i="7"/>
  <c r="I14" i="7"/>
  <c r="I16" i="7"/>
  <c r="I17" i="7"/>
  <c r="I18" i="7"/>
  <c r="I19" i="7"/>
  <c r="I22" i="7"/>
  <c r="I23" i="7"/>
  <c r="I24" i="7"/>
  <c r="I25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9" i="7"/>
  <c r="I61" i="7"/>
  <c r="I62" i="7"/>
  <c r="I63" i="7"/>
  <c r="I64" i="7"/>
  <c r="I65" i="7"/>
  <c r="I66" i="7"/>
  <c r="I67" i="7"/>
  <c r="I69" i="7"/>
  <c r="I70" i="7"/>
  <c r="I71" i="7"/>
  <c r="I72" i="7"/>
  <c r="I73" i="7"/>
  <c r="I74" i="7"/>
  <c r="I75" i="7"/>
  <c r="I76" i="7"/>
  <c r="I79" i="7"/>
  <c r="I80" i="7"/>
  <c r="I81" i="7"/>
  <c r="I83" i="7"/>
  <c r="I84" i="7"/>
  <c r="I85" i="7"/>
  <c r="I86" i="7"/>
  <c r="I87" i="7"/>
  <c r="I88" i="7"/>
  <c r="I7" i="7"/>
  <c r="I6" i="7"/>
  <c r="E88" i="7"/>
  <c r="E86" i="7"/>
  <c r="E85" i="7"/>
  <c r="E84" i="7"/>
  <c r="E83" i="7"/>
  <c r="E81" i="7"/>
  <c r="E80" i="7"/>
  <c r="E79" i="7"/>
  <c r="E76" i="7"/>
  <c r="E75" i="7"/>
  <c r="E74" i="7"/>
  <c r="E73" i="7"/>
  <c r="E72" i="7"/>
  <c r="W71" i="7"/>
  <c r="V71" i="7"/>
  <c r="U71" i="7"/>
  <c r="T71" i="7"/>
  <c r="S71" i="7"/>
  <c r="R71" i="7"/>
  <c r="Q71" i="7"/>
  <c r="P71" i="7"/>
  <c r="O71" i="7"/>
  <c r="N71" i="7"/>
  <c r="M71" i="7"/>
  <c r="L71" i="7"/>
  <c r="K71" i="7"/>
  <c r="J71" i="7"/>
  <c r="E70" i="7"/>
  <c r="E69" i="7"/>
  <c r="E67" i="7"/>
  <c r="W66" i="7"/>
  <c r="V66" i="7"/>
  <c r="U66" i="7"/>
  <c r="T66" i="7"/>
  <c r="S66" i="7"/>
  <c r="R66" i="7"/>
  <c r="Q66" i="7"/>
  <c r="P66" i="7"/>
  <c r="O66" i="7"/>
  <c r="N66" i="7"/>
  <c r="M66" i="7"/>
  <c r="L66" i="7"/>
  <c r="K66" i="7"/>
  <c r="J66" i="7"/>
  <c r="E65" i="7"/>
  <c r="E64" i="7" s="1"/>
  <c r="W64" i="7"/>
  <c r="V64" i="7"/>
  <c r="U64" i="7"/>
  <c r="T64" i="7"/>
  <c r="S64" i="7"/>
  <c r="R64" i="7"/>
  <c r="Q64" i="7"/>
  <c r="P64" i="7"/>
  <c r="O64" i="7"/>
  <c r="N64" i="7"/>
  <c r="M64" i="7"/>
  <c r="L64" i="7"/>
  <c r="K64" i="7"/>
  <c r="J64" i="7"/>
  <c r="E63" i="7"/>
  <c r="E62" i="7"/>
  <c r="E61" i="7"/>
  <c r="W59" i="7"/>
  <c r="V59" i="7"/>
  <c r="U59" i="7"/>
  <c r="T59" i="7"/>
  <c r="S59" i="7"/>
  <c r="R59" i="7"/>
  <c r="Q59" i="7"/>
  <c r="P59" i="7"/>
  <c r="O59" i="7"/>
  <c r="N59" i="7"/>
  <c r="M59" i="7"/>
  <c r="L59" i="7"/>
  <c r="K59" i="7"/>
  <c r="J59" i="7"/>
  <c r="E56" i="7"/>
  <c r="E55" i="7"/>
  <c r="E54" i="7"/>
  <c r="W53" i="7"/>
  <c r="V53" i="7"/>
  <c r="U53" i="7"/>
  <c r="T53" i="7"/>
  <c r="S53" i="7"/>
  <c r="R53" i="7"/>
  <c r="Q53" i="7"/>
  <c r="P53" i="7"/>
  <c r="O53" i="7"/>
  <c r="N53" i="7"/>
  <c r="M53" i="7"/>
  <c r="L53" i="7"/>
  <c r="K53" i="7"/>
  <c r="J53" i="7"/>
  <c r="E52" i="7"/>
  <c r="E51" i="7"/>
  <c r="E50" i="7"/>
  <c r="E49" i="7"/>
  <c r="E48" i="7"/>
  <c r="E47" i="7"/>
  <c r="E45" i="7"/>
  <c r="E44" i="7"/>
  <c r="E43" i="7"/>
  <c r="E42" i="7"/>
  <c r="E41" i="7"/>
  <c r="E40" i="7"/>
  <c r="E39" i="7"/>
  <c r="W38" i="7"/>
  <c r="V38" i="7"/>
  <c r="V34" i="7" s="1"/>
  <c r="U38" i="7"/>
  <c r="U34" i="7" s="1"/>
  <c r="T38" i="7"/>
  <c r="T34" i="7" s="1"/>
  <c r="S38" i="7"/>
  <c r="R38" i="7"/>
  <c r="R34" i="7" s="1"/>
  <c r="Q38" i="7"/>
  <c r="Q34" i="7" s="1"/>
  <c r="P38" i="7"/>
  <c r="P34" i="7" s="1"/>
  <c r="O38" i="7"/>
  <c r="N38" i="7"/>
  <c r="N34" i="7" s="1"/>
  <c r="M38" i="7"/>
  <c r="M34" i="7" s="1"/>
  <c r="L38" i="7"/>
  <c r="L34" i="7" s="1"/>
  <c r="K38" i="7"/>
  <c r="J38" i="7"/>
  <c r="J34" i="7" s="1"/>
  <c r="E37" i="7"/>
  <c r="E36" i="7"/>
  <c r="E35" i="7"/>
  <c r="W34" i="7"/>
  <c r="S34" i="7"/>
  <c r="O34" i="7"/>
  <c r="K34" i="7"/>
  <c r="Y33" i="7"/>
  <c r="X33" i="7"/>
  <c r="E25" i="7"/>
  <c r="E24" i="7"/>
  <c r="E23" i="7"/>
  <c r="Z21" i="7"/>
  <c r="Z20" i="7" s="1"/>
  <c r="Y21" i="7"/>
  <c r="Y20" i="7" s="1"/>
  <c r="X21" i="7"/>
  <c r="X20" i="7" s="1"/>
  <c r="W21" i="7"/>
  <c r="W20" i="7" s="1"/>
  <c r="V21" i="7"/>
  <c r="V20" i="7" s="1"/>
  <c r="U21" i="7"/>
  <c r="U20" i="7" s="1"/>
  <c r="T21" i="7"/>
  <c r="T20" i="7" s="1"/>
  <c r="S21" i="7"/>
  <c r="S20" i="7" s="1"/>
  <c r="R21" i="7"/>
  <c r="R20" i="7" s="1"/>
  <c r="Q21" i="7"/>
  <c r="Q20" i="7" s="1"/>
  <c r="P21" i="7"/>
  <c r="P20" i="7" s="1"/>
  <c r="O21" i="7"/>
  <c r="O20" i="7" s="1"/>
  <c r="N21" i="7"/>
  <c r="N20" i="7" s="1"/>
  <c r="M21" i="7"/>
  <c r="M20" i="7" s="1"/>
  <c r="L21" i="7"/>
  <c r="L20" i="7" s="1"/>
  <c r="K21" i="7"/>
  <c r="K20" i="7" s="1"/>
  <c r="J21" i="7"/>
  <c r="J20" i="7" s="1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E15" i="7"/>
  <c r="D12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E11" i="7"/>
  <c r="E6" i="7"/>
  <c r="W33" i="7" l="1"/>
  <c r="V8" i="7"/>
  <c r="L33" i="7"/>
  <c r="P33" i="7"/>
  <c r="T33" i="7"/>
  <c r="E59" i="7"/>
  <c r="J33" i="7"/>
  <c r="N33" i="7"/>
  <c r="R33" i="7"/>
  <c r="V33" i="7"/>
  <c r="V7" i="7" s="1"/>
  <c r="F14" i="7"/>
  <c r="N8" i="7"/>
  <c r="N7" i="7" s="1"/>
  <c r="O33" i="7"/>
  <c r="J8" i="7"/>
  <c r="R8" i="7"/>
  <c r="Z8" i="7"/>
  <c r="K33" i="7"/>
  <c r="S33" i="7"/>
  <c r="E21" i="7"/>
  <c r="E20" i="7" s="1"/>
  <c r="L8" i="7"/>
  <c r="P8" i="7"/>
  <c r="T8" i="7"/>
  <c r="T7" i="7" s="1"/>
  <c r="K8" i="7"/>
  <c r="O8" i="7"/>
  <c r="S8" i="7"/>
  <c r="W8" i="7"/>
  <c r="W7" i="7" s="1"/>
  <c r="E38" i="7"/>
  <c r="E34" i="7" s="1"/>
  <c r="X8" i="7"/>
  <c r="X7" i="7" s="1"/>
  <c r="F33" i="7"/>
  <c r="E8" i="7"/>
  <c r="M8" i="7"/>
  <c r="Q8" i="7"/>
  <c r="U8" i="7"/>
  <c r="Y8" i="7"/>
  <c r="Y7" i="7" s="1"/>
  <c r="M33" i="7"/>
  <c r="Q33" i="7"/>
  <c r="U33" i="7"/>
  <c r="E46" i="7"/>
  <c r="E53" i="7"/>
  <c r="E71" i="7"/>
  <c r="E66" i="7" s="1"/>
  <c r="R7" i="7" l="1"/>
  <c r="J7" i="7"/>
  <c r="L7" i="7"/>
  <c r="P7" i="7"/>
  <c r="K7" i="7"/>
  <c r="O7" i="7"/>
  <c r="M7" i="7"/>
  <c r="S7" i="7"/>
  <c r="F20" i="7"/>
  <c r="F21" i="7"/>
  <c r="Q7" i="7"/>
  <c r="U7" i="7"/>
  <c r="F12" i="7"/>
  <c r="E33" i="7"/>
  <c r="E7" i="7" s="1"/>
  <c r="AU12" i="7" l="1"/>
  <c r="F11" i="7"/>
  <c r="F8" i="7" l="1"/>
  <c r="F7" i="7"/>
  <c r="I21" i="7"/>
  <c r="I20" i="7"/>
  <c r="I15" i="7"/>
  <c r="I8" i="7" l="1"/>
  <c r="I11" i="7"/>
</calcChain>
</file>

<file path=xl/sharedStrings.xml><?xml version="1.0" encoding="utf-8"?>
<sst xmlns="http://schemas.openxmlformats.org/spreadsheetml/2006/main" count="1184" uniqueCount="312">
  <si>
    <t>УТВЕРЖДАЮ</t>
  </si>
  <si>
    <t>(подпись)</t>
  </si>
  <si>
    <t>(расшифровка подписи)</t>
  </si>
  <si>
    <t>Единица измерения: руб.</t>
  </si>
  <si>
    <t>Коды</t>
  </si>
  <si>
    <t>Дата</t>
  </si>
  <si>
    <t>по Сводному реестру</t>
  </si>
  <si>
    <t>глава по БК</t>
  </si>
  <si>
    <t>КПП</t>
  </si>
  <si>
    <t>по ОКЕИ</t>
  </si>
  <si>
    <t>ИНН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</si>
  <si>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</si>
  <si>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</si>
  <si>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</si>
  <si>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Аналический код</t>
  </si>
  <si>
    <t>на 20___г. второй год планового периода</t>
  </si>
  <si>
    <t>за пределами планового периода</t>
  </si>
  <si>
    <t>Сумма</t>
  </si>
  <si>
    <t>Остаток средств на начало текущего финансового года</t>
  </si>
  <si>
    <t>0001</t>
  </si>
  <si>
    <t>Х</t>
  </si>
  <si>
    <t>Остаток средств на конец текущего финансового года</t>
  </si>
  <si>
    <t>0002</t>
  </si>
  <si>
    <t>Доходы, всего:</t>
  </si>
  <si>
    <t>в том числе:</t>
  </si>
  <si>
    <t>доходы от оказания услуг, работ, компенсаций затрат учреждений, всего</t>
  </si>
  <si>
    <t>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</t>
  </si>
  <si>
    <t>доходы от штрафов, пеней, иных сумм принудительного изъятия, всего</t>
  </si>
  <si>
    <t>безвозмездные денежные поступления, всего</t>
  </si>
  <si>
    <t>1000</t>
  </si>
  <si>
    <t>в том числе:
доходы от собстенности, всего</t>
  </si>
  <si>
    <t>1100</t>
  </si>
  <si>
    <t>1110</t>
  </si>
  <si>
    <t>1200</t>
  </si>
  <si>
    <t>в том числе:
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</si>
  <si>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1210</t>
  </si>
  <si>
    <t>1220</t>
  </si>
  <si>
    <t>1300</t>
  </si>
  <si>
    <t>1310</t>
  </si>
  <si>
    <t>1400</t>
  </si>
  <si>
    <t>прочие доходы, всего:</t>
  </si>
  <si>
    <t>1500</t>
  </si>
  <si>
    <t>субсидии на осуществление капитальных вложений</t>
  </si>
  <si>
    <t>доходы от операций с активами, 
всего</t>
  </si>
  <si>
    <t>1900</t>
  </si>
  <si>
    <t>прочие поступления, всего</t>
  </si>
  <si>
    <t>1980</t>
  </si>
  <si>
    <t>1981</t>
  </si>
  <si>
    <t>в том числе:
целевые субсидии, всего</t>
  </si>
  <si>
    <t>Расходы, всего</t>
  </si>
  <si>
    <t>в том числе:
на выплаты персоналу, всего</t>
  </si>
  <si>
    <t>в том числе:
оплата труда</t>
  </si>
  <si>
    <t>2000</t>
  </si>
  <si>
    <t>2100</t>
  </si>
  <si>
    <t>2110</t>
  </si>
  <si>
    <t>прочие выплаты персоналу, в том числе компенсационного характера</t>
  </si>
  <si>
    <t>2120</t>
  </si>
  <si>
    <t>2130</t>
  </si>
  <si>
    <t>иные выплаты, за исключением фонда оплаты труда учреждения, для выполнения отдельных полномочий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</si>
  <si>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</si>
  <si>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</si>
  <si>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2141</t>
  </si>
  <si>
    <t>в том числе:
на выплаты по оплате труда</t>
  </si>
  <si>
    <t>на иные выплаты работникам</t>
  </si>
  <si>
    <t>денежное довольствие военнослужащих и сотрудников, имеющих специальные звания</t>
  </si>
  <si>
    <t>2142</t>
  </si>
  <si>
    <t>2150</t>
  </si>
  <si>
    <t>2160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</si>
  <si>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</si>
  <si>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2170</t>
  </si>
  <si>
    <t>в том числе:
на оплату труда стажеров</t>
  </si>
  <si>
    <t>2200</t>
  </si>
  <si>
    <t>социальные и иные выплаты населению, всего</t>
  </si>
  <si>
    <t>в том числе:
социальные выплаты гражданам, кроме публичных нормативных социальных выплат</t>
  </si>
  <si>
    <t>2210</t>
  </si>
  <si>
    <t>2211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</si>
  <si>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</si>
  <si>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</si>
  <si>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2230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</si>
  <si>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</si>
  <si>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2240</t>
  </si>
  <si>
    <t>2300</t>
  </si>
  <si>
    <t>уплата налогов, сборов и иных платежей, всего</t>
  </si>
  <si>
    <t>из них:
налог на имущество организаций и земельный налог</t>
  </si>
  <si>
    <t>2310</t>
  </si>
  <si>
    <t>2320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</si>
  <si>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</si>
  <si>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уплата штрафов (в том числе административных), пеней, иных платежей</t>
  </si>
  <si>
    <t>2330</t>
  </si>
  <si>
    <t>2400</t>
  </si>
  <si>
    <t>безвозмездные перечисления организациям и физическим лицам, всего</t>
  </si>
  <si>
    <t>2410</t>
  </si>
  <si>
    <t>2420</t>
  </si>
  <si>
    <t>взносы в международные организации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</si>
  <si>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</si>
  <si>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2430</t>
  </si>
  <si>
    <t>2600</t>
  </si>
  <si>
    <t>прочие выплаты (кроме выплат на закупку товаров, работ, услуг)</t>
  </si>
  <si>
    <t>2500</t>
  </si>
  <si>
    <t>2520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</si>
  <si>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</si>
  <si>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из них:
пособия, компенсации и иные социальные выплаты гражданам, кроме публичных нормативных обязательств</t>
  </si>
  <si>
    <t xml:space="preserve">расходы на закупку товаров, работ, услуг, всего </t>
  </si>
  <si>
    <t>2610</t>
  </si>
  <si>
    <t>в том числе:
закупку научно-исследовательских и опытно-конструкторских работ</t>
  </si>
  <si>
    <t>2630</t>
  </si>
  <si>
    <t>закупку товаров, работ, услуг в целях капитального ремонта государственного (муниципального) имущества</t>
  </si>
  <si>
    <t>прочую закупку товаров, работ и услуг, всего</t>
  </si>
  <si>
    <t>2640</t>
  </si>
  <si>
    <t>в том числе:
приобретение объектов недвижимого имущества государственными (муниципальными) учреждениями</t>
  </si>
  <si>
    <t>строительство (реконструкция) объектов недвижимого имущества государственными (муниципальными) учреждениями</t>
  </si>
  <si>
    <t xml:space="preserve">Выплаты, уменьшающие доход, всего </t>
  </si>
  <si>
    <t>3000</t>
  </si>
  <si>
    <t>3010</t>
  </si>
  <si>
    <t xml:space="preserve">в том числе:
налог на прибыль </t>
  </si>
  <si>
    <t xml:space="preserve">налог на добавленную стоимость </t>
  </si>
  <si>
    <t>3020</t>
  </si>
  <si>
    <t>3030</t>
  </si>
  <si>
    <t xml:space="preserve">прочие налоги, уменьшающие доход </t>
  </si>
  <si>
    <t xml:space="preserve">Прочие выплаты, всего </t>
  </si>
  <si>
    <t>4000</t>
  </si>
  <si>
    <t>4010</t>
  </si>
  <si>
    <t>капитальные вложения в объекты государственной (муниципальной) собственности, всего</t>
  </si>
  <si>
    <t>из них:</t>
  </si>
  <si>
    <t>2650</t>
  </si>
  <si>
    <t>увеличение стоимости основных средств</t>
  </si>
  <si>
    <t>увеличение стоимости нематериальных активов</t>
  </si>
  <si>
    <t>увеличение стоимости материальных запасов</t>
  </si>
  <si>
    <t>в том числе питание</t>
  </si>
  <si>
    <t>в том числе:
поступления нефинансовых активов</t>
  </si>
  <si>
    <t>2641</t>
  </si>
  <si>
    <t>2642</t>
  </si>
  <si>
    <t>2643</t>
  </si>
  <si>
    <t>2644</t>
  </si>
  <si>
    <t>N п/п</t>
  </si>
  <si>
    <t>Коды строк</t>
  </si>
  <si>
    <t>Год начала закупки</t>
  </si>
  <si>
    <t>x</t>
  </si>
  <si>
    <t>1.1.</t>
  </si>
  <si>
    <t>1.2.</t>
  </si>
  <si>
    <t>1.3.</t>
  </si>
  <si>
    <t>1.4.</t>
  </si>
  <si>
    <t>за счет субсидий, предоставляемых на финансовое обеспечение выполнения государственного (муниципального) задания</t>
  </si>
  <si>
    <t>1.4.1.1.</t>
  </si>
  <si>
    <t>в соответствии с Федеральным законом N 44-ФЗ</t>
  </si>
  <si>
    <t>1.4.1.2.</t>
  </si>
  <si>
    <t>1.4.2.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</si>
  <si>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</si>
  <si>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1.4.2.1</t>
  </si>
  <si>
    <t>1.4.2.2.</t>
  </si>
  <si>
    <t>1.4.3.</t>
  </si>
  <si>
    <t>1.4.4.</t>
  </si>
  <si>
    <t>за счет средств обязательного медицинского страхования</t>
  </si>
  <si>
    <t>1.4.4.1.</t>
  </si>
  <si>
    <t>1.4.4.2.</t>
  </si>
  <si>
    <t>1.4.5.</t>
  </si>
  <si>
    <t>за счет прочих источников финансового обеспечения</t>
  </si>
  <si>
    <t>1.4.5.1.</t>
  </si>
  <si>
    <t>1.4.5.2.</t>
  </si>
  <si>
    <t>в соответствии с Федеральным законом N 223-ФЗ</t>
  </si>
  <si>
    <t>2.</t>
  </si>
  <si>
    <t>в том числе по году начала закупки: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</si>
  <si>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</si>
  <si>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</si>
  <si>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 xml:space="preserve">Раздел 2. Сведения по выплатам на закупки товаров, работ, услуг </t>
  </si>
  <si>
    <t>субсидии на финансовое обеспечение выполнения государственного (муниципального) задания</t>
  </si>
  <si>
    <t>субсидии на финансовое обеспечение выполнения государственного задания из бюджета Федерального фонда обязательного медицинского страхования</t>
  </si>
  <si>
    <t>*субсидии, предоставляемые в соответствии с абзацем вторым пункта 1 статьи 78.1 Бюджетного кодекса</t>
  </si>
  <si>
    <t>**субсидии на осуществление капитальных вложений</t>
  </si>
  <si>
    <t>средства обязательного медицинского страхования</t>
  </si>
  <si>
    <t>***поступления от оказания ууслуг (выполнения работ)на платной основе и от иной приносящей доход деятельности</t>
  </si>
  <si>
    <t>Расходы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</si>
  <si>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Погашение кредиторской задолженности прошлых лет по расходам на выполнение муниципальных заданий муниципальными бюджетными и автономными учреждениями</t>
  </si>
  <si>
    <t>родительская плата за присмотр и уход за ребенком, осваивающим образовательные программы дошкольного образования в муниципальных образовательных организациях, осуществляющих образовательную деятельность по реализации образовательных программ дошкольного образования</t>
  </si>
  <si>
    <t>доходы от оказания платных услуг***</t>
  </si>
  <si>
    <t>доходы по условным арендным платежам</t>
  </si>
  <si>
    <t>доходы от операционной аренды</t>
  </si>
  <si>
    <t>доходы от штрафных санкций за нарушение законодательства о закупках и нарушение условий контрактов (договоров)</t>
  </si>
  <si>
    <t>иные доходы, невыясненные поступления</t>
  </si>
  <si>
    <t>доходы, поступающие от выбытия материальных активов</t>
  </si>
  <si>
    <t>гранты</t>
  </si>
  <si>
    <t xml:space="preserve"> (расшифровка подписи)</t>
  </si>
  <si>
    <t>(фамилия, инициалы)</t>
  </si>
  <si>
    <t xml:space="preserve"> (телефон)</t>
  </si>
  <si>
    <t>Выплаты на закупку товаров, работ, услуг, всего</t>
  </si>
  <si>
    <t>по контрактам (договорам), заключенным до начала текущего финансового года без применения норм Федерального закона от 5 апреля 2013 г. N 44-ФЗ "О контрактной системе в сфере закупок товаров, работ, услуг для обеспечения государственных и муниципальных нужд" (Собрание законодательства Российской Федерации, 2013, N 14, ст. 1652; 2018, N 32, ст. 5104) (далее - Федеральный закон N 44-ФЗ) и Федерального закона от 18 июля 2011 г. N 223-ФЗ "О закупках товаров, работ, услуг отдельными видами юридических лиц" (Собрание законодательства Российской Федерации, 2011, N 30, ст. 4571; 2018, N 32, ст. 5135) (далее - Федеральный закон N 223-ФЗ)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</si>
  <si>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</si>
  <si>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</si>
  <si>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</si>
  <si>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 xml:space="preserve">в соответствии с Федеральным законом N 223-ФЗ </t>
  </si>
  <si>
    <t>за счет субсидий, предоставляемых на осуществление капитальных вложений</t>
  </si>
  <si>
    <t xml:space="preserve"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 </t>
  </si>
  <si>
    <t>Учреждение</t>
  </si>
  <si>
    <t>Раздел 1.4. Поступления и выплаты за пределами планового периода, руб. (с точностью до двух знаков после запятой-0,00)</t>
  </si>
  <si>
    <t>из них:
увеличение остатков денежных средств за счет возврата дебиторской задолженности прошлых лет</t>
  </si>
  <si>
    <t>Орган, осуществляющий функции и полномочия учредителя</t>
  </si>
  <si>
    <t>Всего</t>
  </si>
  <si>
    <t>из них:
увеличение остатков денежных средств средства за счет возврата дебиторской задолженности прошлых лет</t>
  </si>
  <si>
    <t>1.4.1.</t>
  </si>
  <si>
    <t>***поступления от оказания услуг (выполнения работ)на платной основе и от иной приносящей доход деятельности</t>
  </si>
  <si>
    <t>1.4.1.4.</t>
  </si>
  <si>
    <t>1.4.1.5.</t>
  </si>
  <si>
    <t>(наименование должности уполномоченного лица)</t>
  </si>
  <si>
    <t>Раздел 1. Поступления и выплаты</t>
  </si>
  <si>
    <t>(наименование учредителя (учреждения)</t>
  </si>
  <si>
    <t>1230</t>
  </si>
  <si>
    <t>родительская плата за присмотр и уход за ребенком, освающим образовательные программы дошкольного образования</t>
  </si>
  <si>
    <t>доходы поступающие в порядке возмещения расходов, понесенных в связи с эксплуатацией имущества</t>
  </si>
  <si>
    <t>поступления от иной приносящей доход деятельности</t>
  </si>
  <si>
    <t>поступления в рамках благотворительной деятельности, пожертвования</t>
  </si>
  <si>
    <t xml:space="preserve">поступления от оказания услуг (выполнения работ) на платной основе </t>
  </si>
  <si>
    <t>прочие поступления от оказания услуг (выполнения работ)на платной основе</t>
  </si>
  <si>
    <t xml:space="preserve"> </t>
  </si>
  <si>
    <t xml:space="preserve">(уполномоченное лицо учреждения)  </t>
  </si>
  <si>
    <t>тел. 23 56 69</t>
  </si>
  <si>
    <t>(исполнитель)</t>
  </si>
  <si>
    <t>основное мероприятие «Предоставление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образования»</t>
  </si>
  <si>
    <t>основное мероприятие «Расходы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образования»</t>
  </si>
  <si>
    <t>основное мероприятие «Совершенствование материально-технической базы и инфраструктуры муниципальных общеобразовательных учреждений»</t>
  </si>
  <si>
    <t>Основное мероприятие "Трудоустройство несовершеннолетних в свободное от учебы время в муниципальных учреждениях"</t>
  </si>
  <si>
    <t>Гранты</t>
  </si>
  <si>
    <t>Муниципальная программа «Улучшение условий и охраны труда в муниципальных учреждениях города Саратова» на 2017-2019 годы</t>
  </si>
  <si>
    <t>Подпрограмма  "Обучение по охране труда руководителей и специалистов" основное мероприятие "Направление на обучение по охране труда рукоодителей и специалистов "</t>
  </si>
  <si>
    <t>руб. (с точностью до второго десятичного знака)</t>
  </si>
  <si>
    <t>из них: возврат в бюджет средств субсидии</t>
  </si>
  <si>
    <t xml:space="preserve">в том числе: налог на прибыль </t>
  </si>
  <si>
    <t>Администрация Октябрьского района                                                                муниципального образования «Город Саратов»</t>
  </si>
  <si>
    <t>1410</t>
  </si>
  <si>
    <t>1420</t>
  </si>
  <si>
    <t>доходы от иной деятельности, поступления в рамках благотворительной деятельности, пожертвования</t>
  </si>
  <si>
    <t>1430</t>
  </si>
  <si>
    <t>расходы на выплаты военнослужащим и сотрудникам, имеющим специальные звания,зависящие от размера денежного довольствия</t>
  </si>
  <si>
    <t>иные выплаты военнослужащими сотрудникам, имеющим специальные звания</t>
  </si>
  <si>
    <t>2180</t>
  </si>
  <si>
    <t>2181</t>
  </si>
  <si>
    <t>иные выплаты населению</t>
  </si>
  <si>
    <t>из них: гранты, предоставляемые бюджетным учреждениям</t>
  </si>
  <si>
    <t>гранты, предоставляемые автономным учреждениям</t>
  </si>
  <si>
    <t>гранты, предоставляемые иным некоммерческим оргнизациям (за исключением бюджетных и автономных учреждений)</t>
  </si>
  <si>
    <t>гранты, предоставляемые другим организациям и физическим лицам</t>
  </si>
  <si>
    <t>2440</t>
  </si>
  <si>
    <t>2450</t>
  </si>
  <si>
    <t>2460</t>
  </si>
  <si>
    <t>4.1</t>
  </si>
  <si>
    <t>1.3.1</t>
  </si>
  <si>
    <t>в том числе: в соответствии с Федеральным законом N 44-ФЗ</t>
  </si>
  <si>
    <r>
      <t xml:space="preserve">из них </t>
    </r>
    <r>
      <rPr>
        <i/>
        <vertAlign val="superscript"/>
        <sz val="11"/>
        <rFont val="Times New Roman"/>
        <family val="1"/>
        <charset val="204"/>
      </rPr>
      <t>10.1:</t>
    </r>
  </si>
  <si>
    <t>26310.1</t>
  </si>
  <si>
    <t>1.3.2</t>
  </si>
  <si>
    <t>26421.1</t>
  </si>
  <si>
    <t>26430.1</t>
  </si>
  <si>
    <t>26451.1</t>
  </si>
  <si>
    <t>1.4.1.3.</t>
  </si>
  <si>
    <t>в том числе: за счет остатка средств на начало года</t>
  </si>
  <si>
    <t>в том числе:
доходы от собственности, всего</t>
  </si>
  <si>
    <t xml:space="preserve">                                                                 </t>
  </si>
  <si>
    <t>Подпрограмма "Специальная оценка условий труда" основное мероприятие "Организация проведения специальной оценки условий труда на рабочих местах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</si>
  <si>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за счет средств муниципального бюджета</t>
  </si>
  <si>
    <t xml:space="preserve">Муниципальная программа «Развитие  образования в муниципальном образовании «Город Саратов» на 2021-2023  годы         Подпрограмма «Развитие системы общего образования» </t>
  </si>
  <si>
    <t>закупка энергетических ресурсов</t>
  </si>
  <si>
    <t>закупку товаров,работ,услуг в целяхсоздания,развития,эксплуатации и вывода из эксплуатации государственных информационных систем
поступления нефинансовых активов</t>
  </si>
  <si>
    <t>2660</t>
  </si>
  <si>
    <t>2700</t>
  </si>
  <si>
    <t>2710</t>
  </si>
  <si>
    <t>2720</t>
  </si>
  <si>
    <t>26430.2</t>
  </si>
  <si>
    <t>26451.2</t>
  </si>
  <si>
    <t>202      г.</t>
  </si>
  <si>
    <t>4.2</t>
  </si>
  <si>
    <t>Директор  МКУ "ЦБ УО Октябрьского р-на г. Саратова"</t>
  </si>
  <si>
    <t>Н.В. Нахова</t>
  </si>
  <si>
    <t>Заместитель директора МКУ "ЦБ УО Октябрьского р-на г. Саратова"</t>
  </si>
  <si>
    <t>Е.В. Максименко</t>
  </si>
  <si>
    <t>закупку товаров,работ,услуг в целях создания,развития,эксплуатации и вывода из эксплуатации государственных информационных систем</t>
  </si>
  <si>
    <t>в том числе: закупку научно-исследовательских, опытно-конструкторских работи технологических работ</t>
  </si>
  <si>
    <t>из них: пособия, компенсации и иные социальные выплаты гражданам, кроме публичных нормативных обязательств</t>
  </si>
  <si>
    <t>в том числе: социальные выплаты гражданам, кроме публичных нормативных социальных выплат</t>
  </si>
  <si>
    <t>в том числе: на оплату труда стажеров</t>
  </si>
  <si>
    <t>из них: увеличение остатков денежных средств за счет возврата дебиторской задолженности прошлых лет</t>
  </si>
  <si>
    <t>Администрация Октябрьского района г. Саратова муниципального образования "Город Саратов"</t>
  </si>
  <si>
    <r>
      <t xml:space="preserve">Код по бюджетной классификации Российской Федерации </t>
    </r>
    <r>
      <rPr>
        <vertAlign val="superscript"/>
        <sz val="11"/>
        <color theme="1"/>
        <rFont val="Times New Roman"/>
        <family val="1"/>
        <charset val="204"/>
      </rPr>
      <t>10.1</t>
    </r>
  </si>
  <si>
    <r>
      <t xml:space="preserve">Уникальный код </t>
    </r>
    <r>
      <rPr>
        <vertAlign val="superscript"/>
        <sz val="11"/>
        <color theme="1"/>
        <rFont val="Times New Roman"/>
        <family val="1"/>
        <charset val="204"/>
      </rPr>
      <t>10.2</t>
    </r>
  </si>
  <si>
    <t>Е.Г. Галушко</t>
  </si>
  <si>
    <t>основное мероприятие " Внедрение целевой модели цифровой образовательной среды в общеобразовательных  организациях и профессиональных образовательных организациях"</t>
  </si>
  <si>
    <t>основное мероприятие "Предоставление питания при организации отдыха детей в каникулярное время в организованных лагерях с дневным пребыванием  в муниципальных общеобразовательных учреждениях"</t>
  </si>
  <si>
    <r>
      <t xml:space="preserve">из них </t>
    </r>
    <r>
      <rPr>
        <i/>
        <vertAlign val="superscript"/>
        <sz val="11"/>
        <rFont val="Times New Roman"/>
        <family val="1"/>
        <charset val="204"/>
      </rPr>
      <t>10.2:</t>
    </r>
  </si>
  <si>
    <t>Создание условий для осуществления присмотра и ухода за детьми в группах продленного дня</t>
  </si>
  <si>
    <t>Финансовое обесечение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Саратовской  области соответствующих задач федерального проекта)</t>
  </si>
  <si>
    <t>специальные расходы</t>
  </si>
  <si>
    <t>2800</t>
  </si>
  <si>
    <t>И.о.  директора МКУ "ЦБ УО Октябрьского р-на г. Саратова"</t>
  </si>
  <si>
    <t xml:space="preserve">План финансово-хозяйственной деятельности муниципального общеобразовательного учреждения на 2024 год
           (на 2024 год и плановый период 2025 и 2026 годов )
</t>
  </si>
  <si>
    <t>на 2026  г. (второй год планового периода)</t>
  </si>
  <si>
    <t>на 2025  г. (первый год планового периода)</t>
  </si>
  <si>
    <t>на 2024 г. (текущий финансовый год)</t>
  </si>
  <si>
    <t>Раздел 1.3. Поступления и выплаты на 2026 г. второй год планового периода, руб. (с точностью до двух знаков после запятой-0,00)</t>
  </si>
  <si>
    <t>Раздел 1.2. Поступления и выплаты на 2025 г. первый год планового периода, руб. (с точностью до двух знаков после запятой-0,00)</t>
  </si>
  <si>
    <t>Раздел 1.1. Поступления и выплаты на 2024 год текущий финансовый год, руб. (с точностью до двух знаков после запятой-0,00)</t>
  </si>
  <si>
    <t>на 2026 г. второй год планового периода</t>
  </si>
  <si>
    <t>на 2025 г. первый год планового периода</t>
  </si>
  <si>
    <t>на 2024 г. текущий финансовый год</t>
  </si>
  <si>
    <t>Муниципальное общеобразовательное учреждение  «Средняя общеобразовательная школа  № 45» Октябрьского района г.Саратова</t>
  </si>
  <si>
    <t>2024г.</t>
  </si>
  <si>
    <t>***поступления от оказания услуг (выполнения работ) на платной основе и от иной приносящей доход деятельности</t>
  </si>
  <si>
    <r>
      <t xml:space="preserve"> от   " </t>
    </r>
    <r>
      <rPr>
        <b/>
        <u/>
        <sz val="14"/>
        <color theme="1"/>
        <rFont val="Times New Roman"/>
        <family val="1"/>
        <charset val="204"/>
      </rPr>
      <t xml:space="preserve">             </t>
    </r>
    <r>
      <rPr>
        <b/>
        <sz val="14"/>
        <color theme="1"/>
        <rFont val="Times New Roman"/>
        <family val="1"/>
        <charset val="204"/>
      </rPr>
      <t xml:space="preserve"> "  </t>
    </r>
    <r>
      <rPr>
        <b/>
        <u/>
        <sz val="14"/>
        <color theme="1"/>
        <rFont val="Times New Roman"/>
        <family val="1"/>
        <charset val="204"/>
      </rPr>
      <t xml:space="preserve">                       </t>
    </r>
    <r>
      <rPr>
        <b/>
        <sz val="14"/>
        <color theme="1"/>
        <rFont val="Times New Roman"/>
        <family val="1"/>
        <charset val="204"/>
      </rPr>
      <t xml:space="preserve">  2024г.</t>
    </r>
  </si>
  <si>
    <t xml:space="preserve">Экономист </t>
  </si>
  <si>
    <t>М.В. Агафонова</t>
  </si>
  <si>
    <t>Начальник ПФО</t>
  </si>
  <si>
    <t>Л.П. Тишкина</t>
  </si>
  <si>
    <t>Е.В. Аврорская</t>
  </si>
  <si>
    <t xml:space="preserve">Директор муниципального общеобразовательного учреждения "Средняя общеобразовательная школа №45" </t>
  </si>
  <si>
    <t>С.К. Архипов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</si>
</sst>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indexed="12"/>
      <name val="Times New Roman"/>
      <family val="1"/>
      <charset val="204"/>
    </font>
    <font>
      <sz val="11"/>
      <color indexed="12"/>
      <name val="Times New Roman"/>
      <family val="1"/>
      <charset val="204"/>
    </font>
    <font>
      <sz val="11"/>
      <color rgb="FF0000FF"/>
      <name val="Times New Roman"/>
      <family val="1"/>
      <charset val="204"/>
    </font>
    <font>
      <u/>
      <sz val="11"/>
      <color rgb="FF0000FF"/>
      <name val="Times New Roman"/>
      <family val="1"/>
      <charset val="204"/>
    </font>
    <font>
      <sz val="10"/>
      <name val="Arial Cyr"/>
      <charset val="204"/>
    </font>
    <font>
      <sz val="14"/>
      <color indexed="12"/>
      <name val="Times New Roman"/>
      <family val="1"/>
      <charset val="204"/>
    </font>
    <font>
      <b/>
      <sz val="11"/>
      <color rgb="FF0000FF"/>
      <name val="Times New Roman"/>
      <family val="1"/>
      <charset val="204"/>
    </font>
    <font>
      <sz val="11"/>
      <color rgb="FF0000FF"/>
      <name val="Calibri"/>
      <family val="2"/>
      <charset val="204"/>
      <scheme val="minor"/>
    </font>
    <font>
      <sz val="14"/>
      <color rgb="FF0000FF"/>
      <name val="Times New Roman"/>
      <family val="1"/>
      <charset val="204"/>
    </font>
    <font>
      <b/>
      <i/>
      <sz val="11"/>
      <color rgb="FF0000FF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11"/>
      <color rgb="FF0000FF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1"/>
      <name val="Times New Roman"/>
      <family val="1"/>
      <charset val="204"/>
    </font>
    <font>
      <i/>
      <vertAlign val="superscript"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4"/>
      <color theme="0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u/>
      <sz val="11"/>
      <color rgb="FF0000FF"/>
      <name val="Calibri"/>
      <family val="2"/>
      <charset val="204"/>
      <scheme val="minor"/>
    </font>
    <font>
      <i/>
      <sz val="11"/>
      <color rgb="FF0000FF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FF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FF9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5" fillId="0" borderId="0"/>
  </cellStyleXfs>
  <cellXfs count="29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 indent="6"/>
    </xf>
    <xf numFmtId="0" fontId="6" fillId="0" borderId="2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 indent="6"/>
    </xf>
    <xf numFmtId="0" fontId="5" fillId="0" borderId="2" xfId="0" applyFont="1" applyBorder="1" applyAlignment="1">
      <alignment horizontal="left" vertical="center" wrapText="1" indent="3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/>
    <xf numFmtId="0" fontId="0" fillId="0" borderId="0" xfId="0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" fontId="3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13" fillId="0" borderId="2" xfId="0" applyFont="1" applyBorder="1" applyAlignment="1">
      <alignment horizontal="center" vertical="center"/>
    </xf>
    <xf numFmtId="4" fontId="13" fillId="0" borderId="2" xfId="0" applyNumberFormat="1" applyFont="1" applyBorder="1" applyAlignment="1">
      <alignment vertical="center"/>
    </xf>
    <xf numFmtId="4" fontId="17" fillId="0" borderId="2" xfId="0" applyNumberFormat="1" applyFont="1" applyBorder="1" applyAlignment="1">
      <alignment vertical="center"/>
    </xf>
    <xf numFmtId="0" fontId="18" fillId="0" borderId="0" xfId="0" applyFont="1" applyAlignment="1">
      <alignment vertical="center"/>
    </xf>
    <xf numFmtId="0" fontId="13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4" fontId="1" fillId="0" borderId="2" xfId="0" applyNumberFormat="1" applyFont="1" applyBorder="1" applyAlignment="1">
      <alignment horizontal="center" vertical="center"/>
    </xf>
    <xf numFmtId="4" fontId="13" fillId="0" borderId="2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4" fontId="17" fillId="5" borderId="2" xfId="0" applyNumberFormat="1" applyFont="1" applyFill="1" applyBorder="1" applyAlignment="1">
      <alignment vertical="center"/>
    </xf>
    <xf numFmtId="0" fontId="2" fillId="0" borderId="4" xfId="0" applyFon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vertical="center"/>
    </xf>
    <xf numFmtId="4" fontId="17" fillId="2" borderId="2" xfId="0" applyNumberFormat="1" applyFont="1" applyFill="1" applyBorder="1" applyAlignment="1">
      <alignment vertical="center"/>
    </xf>
    <xf numFmtId="4" fontId="17" fillId="2" borderId="2" xfId="0" applyNumberFormat="1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vertical="center"/>
    </xf>
    <xf numFmtId="4" fontId="13" fillId="4" borderId="2" xfId="0" applyNumberFormat="1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13" fillId="2" borderId="2" xfId="0" applyFont="1" applyFill="1" applyBorder="1" applyAlignment="1">
      <alignment horizontal="center" vertical="center"/>
    </xf>
    <xf numFmtId="4" fontId="17" fillId="0" borderId="2" xfId="0" applyNumberFormat="1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4" fontId="13" fillId="4" borderId="2" xfId="0" applyNumberFormat="1" applyFont="1" applyFill="1" applyBorder="1" applyAlignment="1">
      <alignment horizontal="center" vertical="center"/>
    </xf>
    <xf numFmtId="0" fontId="18" fillId="4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9" fillId="0" borderId="2" xfId="0" applyFont="1" applyBorder="1" applyAlignment="1">
      <alignment horizontal="center" vertical="center"/>
    </xf>
    <xf numFmtId="0" fontId="16" fillId="0" borderId="2" xfId="2" applyFont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vertical="center"/>
    </xf>
    <xf numFmtId="0" fontId="17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vertical="center"/>
    </xf>
    <xf numFmtId="4" fontId="13" fillId="2" borderId="2" xfId="0" applyNumberFormat="1" applyFont="1" applyFill="1" applyBorder="1" applyAlignment="1">
      <alignment vertical="center"/>
    </xf>
    <xf numFmtId="4" fontId="13" fillId="2" borderId="2" xfId="0" applyNumberFormat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vertical="center"/>
    </xf>
    <xf numFmtId="0" fontId="18" fillId="0" borderId="0" xfId="0" applyFont="1"/>
    <xf numFmtId="0" fontId="18" fillId="2" borderId="0" xfId="0" applyFont="1" applyFill="1"/>
    <xf numFmtId="0" fontId="5" fillId="0" borderId="2" xfId="0" applyFont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/>
    </xf>
    <xf numFmtId="0" fontId="1" fillId="0" borderId="2" xfId="0" applyFont="1" applyBorder="1" applyAlignment="1">
      <alignment horizontal="right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4" fontId="13" fillId="0" borderId="0" xfId="0" applyNumberFormat="1" applyFont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22" fillId="2" borderId="0" xfId="0" applyFont="1" applyFill="1" applyAlignment="1">
      <alignment vertical="center"/>
    </xf>
    <xf numFmtId="0" fontId="23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49" fontId="17" fillId="0" borderId="2" xfId="0" applyNumberFormat="1" applyFont="1" applyBorder="1" applyAlignment="1">
      <alignment horizontal="center" vertical="center"/>
    </xf>
    <xf numFmtId="49" fontId="17" fillId="2" borderId="2" xfId="0" applyNumberFormat="1" applyFont="1" applyFill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vertical="center" wrapText="1"/>
    </xf>
    <xf numFmtId="0" fontId="17" fillId="2" borderId="2" xfId="0" applyFont="1" applyFill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13" fillId="0" borderId="2" xfId="0" applyFont="1" applyBorder="1" applyAlignment="1">
      <alignment horizontal="right" vertical="center" wrapText="1"/>
    </xf>
    <xf numFmtId="49" fontId="13" fillId="4" borderId="2" xfId="0" applyNumberFormat="1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vertical="center" wrapText="1"/>
    </xf>
    <xf numFmtId="49" fontId="17" fillId="6" borderId="2" xfId="0" applyNumberFormat="1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4" fontId="17" fillId="6" borderId="2" xfId="0" applyNumberFormat="1" applyFont="1" applyFill="1" applyBorder="1" applyAlignment="1">
      <alignment horizontal="center" vertical="center"/>
    </xf>
    <xf numFmtId="0" fontId="18" fillId="6" borderId="0" xfId="0" applyFont="1" applyFill="1" applyAlignment="1">
      <alignment horizontal="center" vertical="center"/>
    </xf>
    <xf numFmtId="0" fontId="13" fillId="2" borderId="2" xfId="0" applyFont="1" applyFill="1" applyBorder="1" applyAlignment="1">
      <alignment horizontal="right" vertical="center" wrapText="1"/>
    </xf>
    <xf numFmtId="49" fontId="13" fillId="2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4" fontId="2" fillId="0" borderId="2" xfId="0" applyNumberFormat="1" applyFont="1" applyBorder="1" applyAlignment="1">
      <alignment vertical="center"/>
    </xf>
    <xf numFmtId="0" fontId="17" fillId="6" borderId="2" xfId="0" applyFont="1" applyFill="1" applyBorder="1" applyAlignment="1">
      <alignment vertical="center"/>
    </xf>
    <xf numFmtId="4" fontId="17" fillId="6" borderId="2" xfId="0" applyNumberFormat="1" applyFont="1" applyFill="1" applyBorder="1" applyAlignment="1">
      <alignment vertical="center"/>
    </xf>
    <xf numFmtId="0" fontId="18" fillId="6" borderId="0" xfId="0" applyFont="1" applyFill="1" applyAlignment="1">
      <alignment vertical="center"/>
    </xf>
    <xf numFmtId="0" fontId="18" fillId="4" borderId="0" xfId="0" applyFont="1" applyFill="1" applyAlignment="1">
      <alignment vertical="center"/>
    </xf>
    <xf numFmtId="0" fontId="18" fillId="5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0" fillId="0" borderId="2" xfId="0" applyFont="1" applyBorder="1" applyAlignment="1">
      <alignment horizontal="right" vertical="center" wrapText="1"/>
    </xf>
    <xf numFmtId="0" fontId="24" fillId="0" borderId="2" xfId="0" applyFont="1" applyBorder="1" applyAlignment="1">
      <alignment horizontal="center" vertical="center" wrapText="1"/>
    </xf>
    <xf numFmtId="0" fontId="2" fillId="0" borderId="2" xfId="1" applyFont="1" applyFill="1" applyBorder="1" applyAlignment="1">
      <alignment horizontal="left" vertical="center" wrapText="1" indent="6"/>
    </xf>
    <xf numFmtId="49" fontId="24" fillId="0" borderId="2" xfId="0" applyNumberFormat="1" applyFont="1" applyBorder="1" applyAlignment="1">
      <alignment horizontal="center" vertical="center" wrapText="1"/>
    </xf>
    <xf numFmtId="0" fontId="24" fillId="0" borderId="2" xfId="0" applyFont="1" applyBorder="1" applyAlignment="1">
      <alignment horizontal="left" vertical="center" wrapText="1" indent="1"/>
    </xf>
    <xf numFmtId="0" fontId="5" fillId="0" borderId="2" xfId="1" applyFont="1" applyFill="1" applyBorder="1" applyAlignment="1">
      <alignment horizontal="left" vertical="center" wrapText="1" indent="3"/>
    </xf>
    <xf numFmtId="0" fontId="17" fillId="2" borderId="2" xfId="1" applyFont="1" applyFill="1" applyBorder="1" applyAlignment="1">
      <alignment vertical="center" wrapText="1"/>
    </xf>
    <xf numFmtId="49" fontId="13" fillId="0" borderId="2" xfId="0" applyNumberFormat="1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left" vertical="center" wrapText="1" indent="3"/>
    </xf>
    <xf numFmtId="0" fontId="17" fillId="2" borderId="2" xfId="1" applyFont="1" applyFill="1" applyBorder="1" applyAlignment="1">
      <alignment horizontal="left" vertical="center" wrapText="1" indent="3"/>
    </xf>
    <xf numFmtId="49" fontId="20" fillId="2" borderId="2" xfId="0" applyNumberFormat="1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left" vertical="center" wrapText="1" indent="1"/>
    </xf>
    <xf numFmtId="0" fontId="20" fillId="2" borderId="2" xfId="0" applyFont="1" applyFill="1" applyBorder="1" applyAlignment="1">
      <alignment horizontal="center" vertical="center" wrapText="1"/>
    </xf>
    <xf numFmtId="4" fontId="20" fillId="2" borderId="2" xfId="0" applyNumberFormat="1" applyFont="1" applyFill="1" applyBorder="1" applyAlignment="1">
      <alignment horizontal="center" vertical="center" wrapText="1"/>
    </xf>
    <xf numFmtId="49" fontId="17" fillId="6" borderId="2" xfId="0" applyNumberFormat="1" applyFont="1" applyFill="1" applyBorder="1" applyAlignment="1">
      <alignment horizontal="center" vertical="center" wrapText="1"/>
    </xf>
    <xf numFmtId="0" fontId="17" fillId="6" borderId="2" xfId="1" applyFont="1" applyFill="1" applyBorder="1" applyAlignment="1">
      <alignment vertical="center" wrapText="1"/>
    </xf>
    <xf numFmtId="0" fontId="17" fillId="6" borderId="2" xfId="0" applyFont="1" applyFill="1" applyBorder="1" applyAlignment="1">
      <alignment horizontal="center" vertical="center" wrapText="1"/>
    </xf>
    <xf numFmtId="4" fontId="17" fillId="6" borderId="2" xfId="0" applyNumberFormat="1" applyFont="1" applyFill="1" applyBorder="1" applyAlignment="1">
      <alignment horizontal="center" vertical="center" wrapText="1"/>
    </xf>
    <xf numFmtId="0" fontId="18" fillId="6" borderId="0" xfId="0" applyFont="1" applyFill="1"/>
    <xf numFmtId="0" fontId="5" fillId="0" borderId="2" xfId="0" applyFont="1" applyBorder="1" applyAlignment="1">
      <alignment horizontal="left" vertical="center" wrapText="1" indent="6"/>
    </xf>
    <xf numFmtId="4" fontId="2" fillId="0" borderId="2" xfId="0" applyNumberFormat="1" applyFont="1" applyBorder="1" applyAlignment="1">
      <alignment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0" fontId="13" fillId="0" borderId="2" xfId="1" applyFont="1" applyBorder="1" applyAlignment="1">
      <alignment horizontal="left" vertical="center" wrapText="1" indent="6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2" fillId="0" borderId="2" xfId="0" applyFont="1" applyBorder="1" applyAlignment="1">
      <alignment horizontal="righ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4" borderId="2" xfId="0" applyFont="1" applyFill="1" applyBorder="1" applyAlignment="1">
      <alignment horizontal="left" vertical="center" wrapText="1"/>
    </xf>
    <xf numFmtId="0" fontId="27" fillId="0" borderId="0" xfId="0" applyFont="1" applyAlignment="1">
      <alignment vertical="center"/>
    </xf>
    <xf numFmtId="0" fontId="19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/>
    </xf>
    <xf numFmtId="0" fontId="16" fillId="0" borderId="0" xfId="0" applyFont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18" fillId="0" borderId="2" xfId="0" applyFont="1" applyBorder="1" applyAlignment="1">
      <alignment vertical="center"/>
    </xf>
    <xf numFmtId="0" fontId="18" fillId="2" borderId="2" xfId="0" applyFont="1" applyFill="1" applyBorder="1" applyAlignment="1">
      <alignment vertical="center"/>
    </xf>
    <xf numFmtId="0" fontId="23" fillId="0" borderId="2" xfId="0" applyFont="1" applyBorder="1" applyAlignment="1">
      <alignment vertical="center"/>
    </xf>
    <xf numFmtId="0" fontId="18" fillId="4" borderId="2" xfId="0" applyFont="1" applyFill="1" applyBorder="1" applyAlignment="1">
      <alignment vertical="center"/>
    </xf>
    <xf numFmtId="4" fontId="13" fillId="2" borderId="2" xfId="0" applyNumberFormat="1" applyFont="1" applyFill="1" applyBorder="1" applyAlignment="1">
      <alignment horizontal="right" vertical="center"/>
    </xf>
    <xf numFmtId="0" fontId="17" fillId="2" borderId="2" xfId="0" applyFont="1" applyFill="1" applyBorder="1" applyAlignment="1">
      <alignment horizontal="right" vertical="center" wrapText="1"/>
    </xf>
    <xf numFmtId="0" fontId="22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4" fontId="13" fillId="4" borderId="0" xfId="0" applyNumberFormat="1" applyFont="1" applyFill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4" fontId="13" fillId="3" borderId="2" xfId="0" applyNumberFormat="1" applyFont="1" applyFill="1" applyBorder="1" applyAlignment="1">
      <alignment horizontal="center" vertical="center"/>
    </xf>
    <xf numFmtId="49" fontId="10" fillId="3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49" fontId="10" fillId="2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vertical="center"/>
    </xf>
    <xf numFmtId="4" fontId="13" fillId="3" borderId="2" xfId="0" applyNumberFormat="1" applyFont="1" applyFill="1" applyBorder="1" applyAlignment="1">
      <alignment vertical="center"/>
    </xf>
    <xf numFmtId="0" fontId="18" fillId="3" borderId="2" xfId="0" applyFont="1" applyFill="1" applyBorder="1" applyAlignment="1">
      <alignment vertical="center"/>
    </xf>
    <xf numFmtId="0" fontId="2" fillId="0" borderId="9" xfId="0" applyFont="1" applyBorder="1" applyAlignment="1">
      <alignment horizontal="left" vertical="center" wrapText="1"/>
    </xf>
    <xf numFmtId="49" fontId="10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4" fontId="17" fillId="4" borderId="2" xfId="0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left" vertical="center" wrapText="1" indent="6"/>
    </xf>
    <xf numFmtId="0" fontId="23" fillId="0" borderId="0" xfId="0" applyFont="1"/>
    <xf numFmtId="0" fontId="13" fillId="2" borderId="0" xfId="0" applyFont="1" applyFill="1" applyAlignment="1">
      <alignment vertical="center"/>
    </xf>
    <xf numFmtId="0" fontId="23" fillId="0" borderId="0" xfId="0" applyFont="1" applyAlignment="1">
      <alignment horizontal="center"/>
    </xf>
    <xf numFmtId="0" fontId="26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13" fillId="3" borderId="2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28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0" fontId="14" fillId="0" borderId="0" xfId="0" applyFont="1"/>
    <xf numFmtId="0" fontId="14" fillId="0" borderId="0" xfId="0" applyFont="1" applyAlignment="1">
      <alignment horizontal="justify" vertical="center"/>
    </xf>
    <xf numFmtId="0" fontId="14" fillId="0" borderId="0" xfId="0" applyFont="1" applyAlignment="1">
      <alignment horizontal="center"/>
    </xf>
    <xf numFmtId="0" fontId="30" fillId="0" borderId="0" xfId="0" applyFont="1"/>
    <xf numFmtId="0" fontId="19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5" fillId="0" borderId="6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33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4" fontId="0" fillId="0" borderId="0" xfId="0" applyNumberFormat="1"/>
    <xf numFmtId="0" fontId="35" fillId="0" borderId="0" xfId="0" applyFont="1"/>
    <xf numFmtId="0" fontId="36" fillId="0" borderId="0" xfId="0" applyFont="1" applyAlignment="1">
      <alignment horizontal="justify" vertical="center"/>
    </xf>
    <xf numFmtId="0" fontId="36" fillId="0" borderId="0" xfId="0" applyFont="1"/>
    <xf numFmtId="0" fontId="36" fillId="0" borderId="0" xfId="0" applyFont="1" applyAlignment="1">
      <alignment horizontal="left"/>
    </xf>
    <xf numFmtId="0" fontId="37" fillId="0" borderId="0" xfId="0" applyFont="1"/>
    <xf numFmtId="0" fontId="36" fillId="0" borderId="0" xfId="0" applyFont="1" applyAlignment="1">
      <alignment horizontal="center"/>
    </xf>
    <xf numFmtId="0" fontId="36" fillId="0" borderId="0" xfId="0" applyFont="1" applyAlignment="1">
      <alignment vertical="center"/>
    </xf>
    <xf numFmtId="0" fontId="38" fillId="0" borderId="0" xfId="0" applyFont="1"/>
    <xf numFmtId="0" fontId="35" fillId="0" borderId="2" xfId="0" applyFont="1" applyBorder="1" applyAlignment="1">
      <alignment horizontal="center" vertical="center" wrapText="1"/>
    </xf>
    <xf numFmtId="49" fontId="35" fillId="0" borderId="2" xfId="0" applyNumberFormat="1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9" fillId="0" borderId="2" xfId="0" applyFont="1" applyBorder="1" applyAlignment="1">
      <alignment horizontal="center" vertical="center"/>
    </xf>
    <xf numFmtId="0" fontId="37" fillId="0" borderId="2" xfId="0" applyFont="1" applyBorder="1" applyAlignment="1">
      <alignment horizontal="center" vertical="center"/>
    </xf>
    <xf numFmtId="0" fontId="39" fillId="0" borderId="2" xfId="0" applyFont="1" applyBorder="1" applyAlignment="1">
      <alignment horizontal="center" vertical="center" wrapText="1"/>
    </xf>
    <xf numFmtId="0" fontId="40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49" fontId="39" fillId="0" borderId="2" xfId="0" applyNumberFormat="1" applyFont="1" applyBorder="1" applyAlignment="1">
      <alignment horizontal="center" vertical="center" wrapText="1"/>
    </xf>
    <xf numFmtId="49" fontId="20" fillId="0" borderId="2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center" wrapText="1" indent="1"/>
    </xf>
    <xf numFmtId="0" fontId="20" fillId="0" borderId="2" xfId="0" applyFont="1" applyBorder="1" applyAlignment="1">
      <alignment horizontal="center" vertical="center" wrapText="1"/>
    </xf>
    <xf numFmtId="4" fontId="20" fillId="0" borderId="2" xfId="0" applyNumberFormat="1" applyFont="1" applyBorder="1" applyAlignment="1">
      <alignment horizontal="center" vertical="center" wrapText="1"/>
    </xf>
    <xf numFmtId="4" fontId="18" fillId="0" borderId="0" xfId="0" applyNumberFormat="1" applyFont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49" fontId="17" fillId="2" borderId="2" xfId="0" applyNumberFormat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4" fontId="13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" fontId="17" fillId="2" borderId="2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33" fillId="3" borderId="2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8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/>
    </xf>
    <xf numFmtId="0" fontId="32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16" fillId="0" borderId="1" xfId="0" applyFont="1" applyBorder="1" applyAlignment="1">
      <alignment horizontal="left" vertical="center" wrapText="1"/>
    </xf>
    <xf numFmtId="0" fontId="16" fillId="0" borderId="1" xfId="2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3" xfId="0" applyFont="1" applyBorder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3" fillId="0" borderId="0" xfId="0" applyFont="1" applyAlignment="1">
      <alignment horizontal="right" vertical="center"/>
    </xf>
    <xf numFmtId="0" fontId="28" fillId="0" borderId="0" xfId="0" applyFont="1" applyAlignment="1">
      <alignment horizontal="right" vertical="center"/>
    </xf>
    <xf numFmtId="0" fontId="19" fillId="0" borderId="1" xfId="0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/>
    </xf>
    <xf numFmtId="0" fontId="16" fillId="0" borderId="1" xfId="2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3" fillId="4" borderId="2" xfId="0" applyFont="1" applyFill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4" fontId="14" fillId="0" borderId="0" xfId="0" applyNumberFormat="1" applyFont="1" applyAlignment="1">
      <alignment horizontal="left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9" fontId="17" fillId="2" borderId="2" xfId="0" applyNumberFormat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4" fontId="13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" fontId="17" fillId="2" borderId="2" xfId="0" applyNumberFormat="1" applyFont="1" applyFill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_ПФХД на 2017 год Октябр формы" xfId="2"/>
  </cellStyles>
  <dxfs count="0"/>
  <tableStyles count="0" defaultTableStyle="TableStyleMedium2" defaultPivotStyle="PivotStyleLight16"/>
  <colors>
    <mruColors>
      <color rgb="FF0000FF"/>
      <color rgb="FFCCFFFF"/>
      <color rgb="FF99FF99"/>
      <color rgb="FFFF99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consultantplus://offline/ref=C6A4D78669D02F5015F66DF49E9348C80A54B5E7A14F74C3C60CB5FEB64CC47F5C486DCC3DBFBC4ED3CEB4E35Fq9mAI" TargetMode="External"/><Relationship Id="rId3" Type="http://schemas.openxmlformats.org/officeDocument/2006/relationships/hyperlink" Target="consultantplus://offline/ref=C6A4D78669D02F5015F66DF49E9348C80A54B5E7A14F74C3C60CB5FEB64CC47F5C486DCC3DBFBC4ED3CEB4E35Fq9mAI" TargetMode="External"/><Relationship Id="rId7" Type="http://schemas.openxmlformats.org/officeDocument/2006/relationships/hyperlink" Target="consultantplus://offline/ref=C6A4D78669D02F5015F66DF49E9348C80A57B3E5A44A74C3C60CB5FEB64CC47F5C486DCC3DBFBC4ED3CEB4E35Fq9mAI" TargetMode="External"/><Relationship Id="rId2" Type="http://schemas.openxmlformats.org/officeDocument/2006/relationships/hyperlink" Target="consultantplus://offline/ref=C6A4D78669D02F5015F66DF49E9348C80A54B7E4A34F74C3C60CB5FEB64CC47F4E4835C23EB3A4458181F2B65391C71D73845FA0C648qAm7I" TargetMode="External"/><Relationship Id="rId1" Type="http://schemas.openxmlformats.org/officeDocument/2006/relationships/hyperlink" Target="consultantplus://offline/ref=C6A4D78669D02F5015F66DF49E9348C80A54B5E7A14F74C3C60CB5FEB64CC47F5C486DCC3DBFBC4ED3CEB4E35Fq9mAI" TargetMode="External"/><Relationship Id="rId6" Type="http://schemas.openxmlformats.org/officeDocument/2006/relationships/hyperlink" Target="consultantplus://offline/ref=C6A4D78669D02F5015F66DF49E9348C80A57B3E5A44A74C3C60CB5FEB64CC47F5C486DCC3DBFBC4ED3CEB4E35Fq9mAI" TargetMode="External"/><Relationship Id="rId5" Type="http://schemas.openxmlformats.org/officeDocument/2006/relationships/hyperlink" Target="consultantplus://offline/ref=C6A4D78669D02F5015F66DF49E9348C80A54B5E7A14F74C3C60CB5FEB64CC47F5C486DCC3DBFBC4ED3CEB4E35Fq9mAI" TargetMode="External"/><Relationship Id="rId10" Type="http://schemas.openxmlformats.org/officeDocument/2006/relationships/printerSettings" Target="../printerSettings/printerSettings7.bin"/><Relationship Id="rId4" Type="http://schemas.openxmlformats.org/officeDocument/2006/relationships/hyperlink" Target="consultantplus://offline/ref=C6A4D78669D02F5015F66DF49E9348C80A54B5E7A14F74C3C60CB5FEB64CC47F5C486DCC3DBFBC4ED3CEB4E35Fq9mAI" TargetMode="External"/><Relationship Id="rId9" Type="http://schemas.openxmlformats.org/officeDocument/2006/relationships/hyperlink" Target="consultantplus://offline/ref=C6A4D78669D02F5015F66DF49E9348C80A54B5E7A14F74C3C60CB5FEB64CC47F5C486DCC3DBFBC4ED3CEB4E35Fq9mA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tabSelected="1" view="pageBreakPreview" zoomScale="60" workbookViewId="0">
      <selection activeCell="M8" sqref="M8"/>
    </sheetView>
  </sheetViews>
  <sheetFormatPr defaultColWidth="9.140625" defaultRowHeight="15" x14ac:dyDescent="0.25"/>
  <cols>
    <col min="1" max="1" width="51.85546875" style="36" customWidth="1"/>
    <col min="2" max="2" width="21.140625" style="36" customWidth="1"/>
    <col min="3" max="3" width="14.85546875" style="36" customWidth="1"/>
    <col min="4" max="4" width="55.28515625" style="36" customWidth="1"/>
    <col min="5" max="5" width="12.42578125" style="36" customWidth="1"/>
    <col min="6" max="6" width="8.5703125" style="36" customWidth="1"/>
    <col min="7" max="7" width="9.140625" style="36"/>
    <col min="8" max="8" width="13.7109375" style="36" customWidth="1"/>
    <col min="9" max="9" width="14.85546875" style="17" customWidth="1"/>
    <col min="10" max="10" width="19.28515625" style="17" customWidth="1"/>
    <col min="11" max="16384" width="9.140625" style="17"/>
  </cols>
  <sheetData>
    <row r="1" spans="1:10" x14ac:dyDescent="0.25">
      <c r="A1" s="114"/>
      <c r="B1" s="114"/>
      <c r="C1" s="114"/>
      <c r="J1" s="139"/>
    </row>
    <row r="2" spans="1:10" ht="18.75" x14ac:dyDescent="0.25">
      <c r="A2" s="252"/>
      <c r="B2" s="252"/>
      <c r="C2" s="192"/>
      <c r="D2" s="239"/>
      <c r="E2" s="249" t="s">
        <v>0</v>
      </c>
      <c r="F2" s="249"/>
      <c r="G2" s="249"/>
      <c r="H2" s="249"/>
      <c r="I2" s="249"/>
      <c r="J2" s="249"/>
    </row>
    <row r="3" spans="1:10" ht="27.75" customHeight="1" x14ac:dyDescent="0.25">
      <c r="A3" s="252"/>
      <c r="B3" s="252"/>
      <c r="C3" s="146"/>
      <c r="D3" s="240"/>
      <c r="E3" s="240"/>
      <c r="F3" s="240"/>
      <c r="G3" s="240"/>
      <c r="H3" s="240"/>
      <c r="I3" s="240"/>
      <c r="J3" s="239"/>
    </row>
    <row r="4" spans="1:10" ht="63" customHeight="1" x14ac:dyDescent="0.25">
      <c r="A4" s="256"/>
      <c r="B4" s="256"/>
      <c r="C4" s="146"/>
      <c r="D4" s="240"/>
      <c r="E4" s="247" t="s">
        <v>310</v>
      </c>
      <c r="F4" s="247"/>
      <c r="G4" s="247"/>
      <c r="H4" s="247"/>
      <c r="I4" s="247"/>
      <c r="J4" s="247"/>
    </row>
    <row r="5" spans="1:10" x14ac:dyDescent="0.25">
      <c r="A5" s="256"/>
      <c r="B5" s="256"/>
      <c r="C5" s="114"/>
      <c r="D5" s="241"/>
      <c r="E5" s="248" t="s">
        <v>202</v>
      </c>
      <c r="F5" s="248"/>
      <c r="G5" s="248"/>
      <c r="H5" s="248"/>
      <c r="I5" s="248"/>
      <c r="J5" s="248"/>
    </row>
    <row r="6" spans="1:10" ht="55.5" customHeight="1" x14ac:dyDescent="0.25">
      <c r="A6" s="256"/>
      <c r="B6" s="256"/>
      <c r="C6" s="192"/>
      <c r="D6" s="242"/>
      <c r="E6" s="247" t="s">
        <v>226</v>
      </c>
      <c r="F6" s="247"/>
      <c r="G6" s="247"/>
      <c r="H6" s="247"/>
      <c r="I6" s="247"/>
      <c r="J6" s="247"/>
    </row>
    <row r="7" spans="1:10" x14ac:dyDescent="0.25">
      <c r="A7" s="256"/>
      <c r="B7" s="256"/>
      <c r="C7" s="196"/>
      <c r="D7" s="241"/>
      <c r="E7" s="248" t="s">
        <v>204</v>
      </c>
      <c r="F7" s="248"/>
      <c r="G7" s="248"/>
      <c r="H7" s="248"/>
      <c r="I7" s="248"/>
      <c r="J7" s="248"/>
    </row>
    <row r="8" spans="1:10" ht="40.5" customHeight="1" x14ac:dyDescent="0.25">
      <c r="A8" s="193"/>
      <c r="B8" s="193"/>
      <c r="C8" s="192"/>
      <c r="D8" s="239"/>
      <c r="E8" s="243"/>
      <c r="F8" s="243"/>
      <c r="G8" s="243"/>
      <c r="H8" s="243"/>
      <c r="I8" s="262" t="s">
        <v>311</v>
      </c>
      <c r="J8" s="262"/>
    </row>
    <row r="9" spans="1:10" s="145" customFormat="1" x14ac:dyDescent="0.25">
      <c r="A9" s="257"/>
      <c r="B9" s="257"/>
      <c r="C9" s="193"/>
      <c r="D9" s="244"/>
      <c r="E9" s="261" t="s">
        <v>1</v>
      </c>
      <c r="F9" s="261"/>
      <c r="G9" s="261"/>
      <c r="H9" s="261"/>
      <c r="I9" s="261" t="s">
        <v>2</v>
      </c>
      <c r="J9" s="261"/>
    </row>
    <row r="10" spans="1:10" ht="18.75" x14ac:dyDescent="0.25">
      <c r="A10" s="193"/>
      <c r="B10" s="193"/>
      <c r="C10" s="192"/>
      <c r="D10" s="239"/>
      <c r="E10" s="242"/>
      <c r="F10" s="242"/>
      <c r="G10" s="245"/>
      <c r="H10" s="245"/>
      <c r="I10" s="245"/>
      <c r="J10" s="245"/>
    </row>
    <row r="11" spans="1:10" ht="18.75" x14ac:dyDescent="0.25">
      <c r="A11" s="194"/>
      <c r="B11" s="192"/>
      <c r="C11" s="192"/>
      <c r="D11" s="242"/>
      <c r="E11" s="259" t="s">
        <v>302</v>
      </c>
      <c r="F11" s="259"/>
      <c r="G11" s="259"/>
      <c r="H11" s="259"/>
      <c r="I11" s="259"/>
      <c r="J11" s="259"/>
    </row>
    <row r="12" spans="1:10" ht="18.75" x14ac:dyDescent="0.25">
      <c r="A12" s="258" t="s">
        <v>267</v>
      </c>
      <c r="B12" s="258"/>
      <c r="C12" s="45"/>
      <c r="D12" s="239"/>
      <c r="E12" s="239"/>
      <c r="F12" s="239"/>
      <c r="G12" s="239"/>
      <c r="H12" s="239"/>
      <c r="I12" s="239"/>
      <c r="J12" s="239"/>
    </row>
    <row r="13" spans="1:10" ht="18.75" x14ac:dyDescent="0.25">
      <c r="A13" s="186"/>
      <c r="B13" s="186"/>
      <c r="C13" s="45"/>
      <c r="D13" s="45"/>
      <c r="E13" s="45"/>
      <c r="F13" s="45"/>
      <c r="G13" s="45"/>
      <c r="H13" s="45"/>
      <c r="I13" s="45"/>
      <c r="J13" s="45"/>
    </row>
    <row r="14" spans="1:10" ht="18.75" x14ac:dyDescent="0.25">
      <c r="A14" s="141"/>
      <c r="B14" s="141"/>
      <c r="C14" s="45"/>
      <c r="D14" s="45"/>
      <c r="E14" s="45"/>
      <c r="F14" s="45"/>
      <c r="G14" s="45"/>
      <c r="H14" s="45"/>
      <c r="I14" s="45"/>
      <c r="J14" s="45"/>
    </row>
    <row r="15" spans="1:10" ht="18.75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</row>
    <row r="16" spans="1:10" ht="18.75" x14ac:dyDescent="0.25">
      <c r="A16" s="45"/>
      <c r="B16" s="45"/>
      <c r="C16" s="45"/>
      <c r="D16" s="45"/>
      <c r="E16" s="45"/>
      <c r="F16" s="45"/>
      <c r="G16" s="45"/>
      <c r="H16" s="45"/>
      <c r="I16" s="45"/>
      <c r="J16" s="45"/>
    </row>
    <row r="17" spans="1:10" ht="18.75" x14ac:dyDescent="0.25">
      <c r="A17" s="45"/>
      <c r="B17" s="45"/>
      <c r="C17" s="45"/>
      <c r="D17" s="45"/>
      <c r="E17" s="45"/>
      <c r="F17" s="45"/>
      <c r="G17" s="45"/>
      <c r="H17" s="45"/>
      <c r="I17" s="45"/>
      <c r="J17" s="45"/>
    </row>
    <row r="18" spans="1:10" ht="18.75" x14ac:dyDescent="0.25">
      <c r="A18" s="45"/>
      <c r="B18" s="45"/>
      <c r="C18" s="45"/>
      <c r="D18" s="45"/>
      <c r="E18" s="45"/>
      <c r="F18" s="45"/>
      <c r="G18" s="45"/>
      <c r="H18" s="45"/>
      <c r="I18" s="45"/>
      <c r="J18" s="45"/>
    </row>
    <row r="19" spans="1:10" ht="63" customHeight="1" x14ac:dyDescent="0.25">
      <c r="A19" s="260" t="s">
        <v>291</v>
      </c>
      <c r="B19" s="260"/>
      <c r="C19" s="260"/>
      <c r="D19" s="260"/>
      <c r="E19" s="260"/>
      <c r="F19" s="260"/>
      <c r="G19" s="260"/>
      <c r="H19" s="260"/>
      <c r="I19" s="260"/>
      <c r="J19" s="260"/>
    </row>
    <row r="20" spans="1:10" ht="18" customHeight="1" x14ac:dyDescent="0.25">
      <c r="A20" s="181"/>
      <c r="B20" s="181"/>
      <c r="C20" s="181"/>
      <c r="D20" s="181"/>
      <c r="E20" s="181"/>
      <c r="F20" s="181"/>
      <c r="G20" s="181"/>
      <c r="H20" s="181"/>
      <c r="I20" s="181"/>
      <c r="J20" s="181"/>
    </row>
    <row r="21" spans="1:10" s="180" customFormat="1" ht="18.75" x14ac:dyDescent="0.25">
      <c r="A21" s="263" t="s">
        <v>304</v>
      </c>
      <c r="B21" s="263"/>
      <c r="C21" s="263"/>
      <c r="D21" s="263"/>
      <c r="E21" s="263"/>
      <c r="F21" s="263"/>
      <c r="G21" s="263"/>
      <c r="H21" s="263"/>
      <c r="I21" s="263"/>
      <c r="J21" s="263"/>
    </row>
    <row r="22" spans="1:10" ht="18.75" x14ac:dyDescent="0.25">
      <c r="A22" s="255" t="s">
        <v>255</v>
      </c>
      <c r="B22" s="255"/>
      <c r="C22" s="255"/>
      <c r="D22" s="255"/>
      <c r="E22" s="255"/>
      <c r="F22" s="255"/>
      <c r="G22" s="255"/>
      <c r="H22" s="45"/>
      <c r="I22" s="45"/>
      <c r="J22" s="54" t="s">
        <v>4</v>
      </c>
    </row>
    <row r="23" spans="1:10" ht="18.75" x14ac:dyDescent="0.25">
      <c r="A23" s="45"/>
      <c r="B23" s="45"/>
      <c r="C23" s="45"/>
      <c r="D23" s="45"/>
      <c r="E23" s="45"/>
      <c r="F23" s="45"/>
      <c r="G23" s="45"/>
      <c r="H23" s="250" t="s">
        <v>5</v>
      </c>
      <c r="I23" s="251"/>
      <c r="J23" s="54"/>
    </row>
    <row r="24" spans="1:10" ht="18.75" x14ac:dyDescent="0.25">
      <c r="A24" s="254" t="s">
        <v>195</v>
      </c>
      <c r="B24" s="45"/>
      <c r="C24" s="45"/>
      <c r="D24" s="45"/>
      <c r="E24" s="45"/>
      <c r="F24" s="45"/>
      <c r="G24" s="45"/>
      <c r="H24" s="250" t="s">
        <v>6</v>
      </c>
      <c r="I24" s="251"/>
      <c r="J24" s="54"/>
    </row>
    <row r="25" spans="1:10" ht="37.15" customHeight="1" x14ac:dyDescent="0.25">
      <c r="A25" s="254"/>
      <c r="B25" s="253" t="s">
        <v>279</v>
      </c>
      <c r="C25" s="253"/>
      <c r="D25" s="253"/>
      <c r="E25" s="253"/>
      <c r="F25" s="146"/>
      <c r="G25" s="45"/>
      <c r="H25" s="250" t="s">
        <v>7</v>
      </c>
      <c r="I25" s="251"/>
      <c r="J25" s="54"/>
    </row>
    <row r="26" spans="1:10" ht="18.75" x14ac:dyDescent="0.25">
      <c r="A26" s="45"/>
      <c r="B26" s="147"/>
      <c r="C26" s="147"/>
      <c r="D26" s="147"/>
      <c r="E26" s="147"/>
      <c r="F26" s="45"/>
      <c r="G26" s="45"/>
      <c r="H26" s="250" t="s">
        <v>6</v>
      </c>
      <c r="I26" s="251"/>
      <c r="J26" s="54"/>
    </row>
    <row r="27" spans="1:10" ht="18.75" x14ac:dyDescent="0.25">
      <c r="A27" s="45"/>
      <c r="B27" s="147"/>
      <c r="C27" s="147"/>
      <c r="D27" s="147"/>
      <c r="E27" s="147"/>
      <c r="F27" s="45"/>
      <c r="G27" s="45"/>
      <c r="H27" s="250" t="s">
        <v>10</v>
      </c>
      <c r="I27" s="251"/>
      <c r="J27" s="55">
        <v>6454048727</v>
      </c>
    </row>
    <row r="28" spans="1:10" ht="45" customHeight="1" x14ac:dyDescent="0.25">
      <c r="A28" s="140" t="s">
        <v>192</v>
      </c>
      <c r="B28" s="253" t="s">
        <v>301</v>
      </c>
      <c r="C28" s="253"/>
      <c r="D28" s="253"/>
      <c r="E28" s="253"/>
      <c r="F28" s="146"/>
      <c r="G28" s="45"/>
      <c r="H28" s="250" t="s">
        <v>8</v>
      </c>
      <c r="I28" s="251"/>
      <c r="J28" s="55">
        <v>645401001</v>
      </c>
    </row>
    <row r="29" spans="1:10" ht="18.75" x14ac:dyDescent="0.25">
      <c r="A29" s="45"/>
      <c r="B29" s="147"/>
      <c r="C29" s="147"/>
      <c r="D29" s="147"/>
      <c r="E29" s="147"/>
      <c r="F29" s="45"/>
      <c r="G29" s="45"/>
      <c r="H29" s="250" t="s">
        <v>9</v>
      </c>
      <c r="I29" s="251"/>
      <c r="J29" s="54"/>
    </row>
    <row r="30" spans="1:10" ht="30" customHeight="1" x14ac:dyDescent="0.25">
      <c r="A30" s="45" t="s">
        <v>3</v>
      </c>
      <c r="B30" s="246" t="s">
        <v>223</v>
      </c>
      <c r="C30" s="246"/>
      <c r="D30" s="246"/>
      <c r="E30" s="246"/>
      <c r="F30" s="148"/>
      <c r="G30" s="45"/>
      <c r="H30" s="45"/>
      <c r="I30" s="45"/>
      <c r="J30" s="45"/>
    </row>
  </sheetData>
  <mergeCells count="28">
    <mergeCell ref="B28:E28"/>
    <mergeCell ref="A3:B3"/>
    <mergeCell ref="A4:B7"/>
    <mergeCell ref="A9:B9"/>
    <mergeCell ref="A12:B12"/>
    <mergeCell ref="E11:J11"/>
    <mergeCell ref="A19:J19"/>
    <mergeCell ref="H23:I23"/>
    <mergeCell ref="I9:J9"/>
    <mergeCell ref="I8:J8"/>
    <mergeCell ref="A21:J21"/>
    <mergeCell ref="E9:H9"/>
    <mergeCell ref="B30:E30"/>
    <mergeCell ref="E4:J4"/>
    <mergeCell ref="E5:J5"/>
    <mergeCell ref="E2:J2"/>
    <mergeCell ref="H29:I29"/>
    <mergeCell ref="H28:I28"/>
    <mergeCell ref="H27:I27"/>
    <mergeCell ref="H26:I26"/>
    <mergeCell ref="E6:J6"/>
    <mergeCell ref="A2:B2"/>
    <mergeCell ref="B25:E25"/>
    <mergeCell ref="A24:A25"/>
    <mergeCell ref="A22:G22"/>
    <mergeCell ref="H24:I24"/>
    <mergeCell ref="E7:J7"/>
    <mergeCell ref="H25:I25"/>
  </mergeCells>
  <pageMargins left="1.03" right="0.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W88"/>
  <sheetViews>
    <sheetView view="pageBreakPreview" zoomScale="62" zoomScaleNormal="80" zoomScaleSheetLayoutView="62" workbookViewId="0">
      <selection activeCell="AU12" sqref="AU12"/>
    </sheetView>
  </sheetViews>
  <sheetFormatPr defaultColWidth="9.140625" defaultRowHeight="15" x14ac:dyDescent="0.25"/>
  <cols>
    <col min="1" max="1" width="107.7109375" style="53" customWidth="1"/>
    <col min="2" max="2" width="8.85546875" style="4"/>
    <col min="3" max="3" width="12.85546875" style="35" customWidth="1"/>
    <col min="4" max="4" width="9.42578125" style="35" customWidth="1"/>
    <col min="5" max="5" width="17" style="35" hidden="1" customWidth="1"/>
    <col min="6" max="8" width="21.42578125" style="35" customWidth="1"/>
    <col min="9" max="9" width="17" style="35" customWidth="1"/>
    <col min="10" max="10" width="17.140625" style="35" hidden="1" customWidth="1"/>
    <col min="11" max="11" width="14.5703125" style="35" hidden="1" customWidth="1"/>
    <col min="12" max="12" width="14.7109375" style="35" hidden="1" customWidth="1"/>
    <col min="13" max="14" width="19.140625" style="35" hidden="1" customWidth="1"/>
    <col min="15" max="15" width="14.7109375" style="35" hidden="1" customWidth="1"/>
    <col min="16" max="16" width="11.140625" style="35" hidden="1" customWidth="1"/>
    <col min="17" max="17" width="23.42578125" style="35" hidden="1" customWidth="1"/>
    <col min="18" max="18" width="13.85546875" style="35" hidden="1" customWidth="1"/>
    <col min="19" max="19" width="12" style="35" hidden="1" customWidth="1"/>
    <col min="20" max="20" width="12.42578125" style="35" hidden="1" customWidth="1"/>
    <col min="21" max="23" width="14.7109375" style="35" hidden="1" customWidth="1"/>
    <col min="24" max="24" width="10.28515625" style="35" hidden="1" customWidth="1"/>
    <col min="25" max="26" width="14.7109375" style="35" hidden="1" customWidth="1"/>
    <col min="27" max="27" width="24.140625" style="197" hidden="1" customWidth="1"/>
    <col min="28" max="45" width="0" style="197" hidden="1" customWidth="1"/>
    <col min="46" max="46" width="9.140625" style="197"/>
    <col min="47" max="47" width="14.42578125" style="197" bestFit="1" customWidth="1"/>
    <col min="48" max="48" width="14.140625" style="197" bestFit="1" customWidth="1"/>
    <col min="49" max="49" width="19" style="197" customWidth="1"/>
    <col min="50" max="16384" width="9.140625" style="197"/>
  </cols>
  <sheetData>
    <row r="2" spans="1:49" ht="31.9" customHeight="1" x14ac:dyDescent="0.25">
      <c r="A2" s="267" t="s">
        <v>203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s="267"/>
      <c r="S2" s="267"/>
      <c r="T2" s="267"/>
      <c r="U2" s="267"/>
      <c r="V2" s="267"/>
      <c r="W2" s="267"/>
      <c r="X2" s="267"/>
      <c r="Y2" s="267"/>
      <c r="Z2" s="267"/>
    </row>
    <row r="3" spans="1:49" s="198" customFormat="1" ht="25.9" customHeight="1" x14ac:dyDescent="0.25">
      <c r="A3" s="268" t="s">
        <v>11</v>
      </c>
      <c r="B3" s="269" t="s">
        <v>12</v>
      </c>
      <c r="C3" s="268" t="s">
        <v>13</v>
      </c>
      <c r="D3" s="268" t="s">
        <v>14</v>
      </c>
      <c r="E3" s="264"/>
      <c r="F3" s="264" t="s">
        <v>17</v>
      </c>
      <c r="G3" s="264"/>
      <c r="H3" s="264"/>
      <c r="I3" s="264"/>
      <c r="J3" s="264" t="s">
        <v>165</v>
      </c>
      <c r="K3" s="264" t="s">
        <v>167</v>
      </c>
      <c r="L3" s="264"/>
      <c r="M3" s="264"/>
      <c r="N3" s="264"/>
      <c r="O3" s="264"/>
      <c r="P3" s="265" t="s">
        <v>168</v>
      </c>
      <c r="Q3" s="264" t="s">
        <v>199</v>
      </c>
      <c r="R3" s="264"/>
      <c r="S3" s="264"/>
      <c r="T3" s="264"/>
      <c r="U3" s="264"/>
      <c r="V3" s="264"/>
      <c r="W3" s="264"/>
      <c r="X3" s="264"/>
      <c r="Y3" s="81"/>
      <c r="Z3" s="81"/>
      <c r="AA3" s="264" t="s">
        <v>165</v>
      </c>
      <c r="AB3" s="264" t="s">
        <v>166</v>
      </c>
      <c r="AC3" s="264" t="s">
        <v>167</v>
      </c>
      <c r="AD3" s="264"/>
      <c r="AE3" s="264"/>
      <c r="AF3" s="264"/>
      <c r="AG3" s="264"/>
      <c r="AH3" s="264" t="s">
        <v>168</v>
      </c>
      <c r="AI3" s="265" t="s">
        <v>169</v>
      </c>
      <c r="AJ3" s="266" t="s">
        <v>170</v>
      </c>
      <c r="AK3" s="264"/>
      <c r="AL3" s="264"/>
      <c r="AM3" s="264"/>
      <c r="AN3" s="264"/>
      <c r="AO3" s="264"/>
      <c r="AP3" s="264"/>
      <c r="AQ3" s="264"/>
      <c r="AR3" s="264"/>
      <c r="AS3" s="264"/>
    </row>
    <row r="4" spans="1:49" s="198" customFormat="1" ht="95.25" customHeight="1" x14ac:dyDescent="0.25">
      <c r="A4" s="268"/>
      <c r="B4" s="269"/>
      <c r="C4" s="268"/>
      <c r="D4" s="268"/>
      <c r="E4" s="264"/>
      <c r="F4" s="64" t="s">
        <v>300</v>
      </c>
      <c r="G4" s="88" t="s">
        <v>299</v>
      </c>
      <c r="H4" s="88" t="s">
        <v>298</v>
      </c>
      <c r="I4" s="88" t="s">
        <v>16</v>
      </c>
      <c r="J4" s="264"/>
      <c r="K4" s="9"/>
      <c r="L4" s="10"/>
      <c r="M4" s="64"/>
      <c r="N4" s="64"/>
      <c r="O4" s="64"/>
      <c r="P4" s="264"/>
      <c r="Q4" s="195" t="s">
        <v>173</v>
      </c>
      <c r="R4" s="64" t="s">
        <v>174</v>
      </c>
      <c r="S4" s="64" t="s">
        <v>175</v>
      </c>
      <c r="T4" s="64" t="s">
        <v>176</v>
      </c>
      <c r="U4" s="64" t="s">
        <v>177</v>
      </c>
      <c r="V4" s="64" t="s">
        <v>178</v>
      </c>
      <c r="W4" s="64" t="s">
        <v>179</v>
      </c>
      <c r="X4" s="64" t="s">
        <v>180</v>
      </c>
      <c r="Y4" s="81" t="s">
        <v>15</v>
      </c>
      <c r="Z4" s="81" t="s">
        <v>16</v>
      </c>
      <c r="AA4" s="264"/>
      <c r="AB4" s="264"/>
      <c r="AC4" s="9" t="s">
        <v>171</v>
      </c>
      <c r="AD4" s="10" t="s">
        <v>172</v>
      </c>
      <c r="AE4" s="64"/>
      <c r="AF4" s="64"/>
      <c r="AG4" s="64"/>
      <c r="AH4" s="264"/>
      <c r="AI4" s="265"/>
      <c r="AJ4" s="11" t="s">
        <v>173</v>
      </c>
      <c r="AK4" s="9" t="s">
        <v>174</v>
      </c>
      <c r="AL4" s="9" t="s">
        <v>175</v>
      </c>
      <c r="AM4" s="9" t="s">
        <v>176</v>
      </c>
      <c r="AN4" s="9" t="s">
        <v>177</v>
      </c>
      <c r="AO4" s="9"/>
      <c r="AP4" s="9"/>
      <c r="AQ4" s="9" t="s">
        <v>178</v>
      </c>
      <c r="AR4" s="9" t="s">
        <v>179</v>
      </c>
      <c r="AS4" s="9" t="s">
        <v>180</v>
      </c>
    </row>
    <row r="5" spans="1:49" s="216" customFormat="1" ht="12.75" x14ac:dyDescent="0.25">
      <c r="A5" s="213">
        <v>1</v>
      </c>
      <c r="B5" s="214">
        <v>2</v>
      </c>
      <c r="C5" s="215">
        <v>3</v>
      </c>
      <c r="D5" s="215">
        <v>4</v>
      </c>
      <c r="E5" s="215">
        <v>5</v>
      </c>
      <c r="F5" s="215">
        <v>5</v>
      </c>
      <c r="G5" s="215">
        <v>6</v>
      </c>
      <c r="H5" s="215">
        <v>7</v>
      </c>
      <c r="I5" s="215">
        <v>8</v>
      </c>
      <c r="J5" s="215">
        <v>6</v>
      </c>
      <c r="K5" s="215">
        <v>7</v>
      </c>
      <c r="L5" s="215">
        <v>8</v>
      </c>
      <c r="M5" s="215"/>
      <c r="N5" s="215"/>
      <c r="O5" s="215"/>
      <c r="P5" s="215">
        <v>9</v>
      </c>
      <c r="Q5" s="215">
        <v>10</v>
      </c>
      <c r="R5" s="215">
        <v>11</v>
      </c>
      <c r="S5" s="215">
        <v>12</v>
      </c>
      <c r="T5" s="215">
        <v>13</v>
      </c>
      <c r="U5" s="215">
        <v>14</v>
      </c>
      <c r="V5" s="215">
        <v>15</v>
      </c>
      <c r="W5" s="215">
        <v>16</v>
      </c>
      <c r="X5" s="215">
        <v>16</v>
      </c>
      <c r="Y5" s="215">
        <v>7</v>
      </c>
      <c r="Z5" s="215">
        <v>8</v>
      </c>
    </row>
    <row r="6" spans="1:49" s="50" customFormat="1" x14ac:dyDescent="0.25">
      <c r="A6" s="89" t="s">
        <v>18</v>
      </c>
      <c r="B6" s="85" t="s">
        <v>19</v>
      </c>
      <c r="C6" s="57" t="s">
        <v>20</v>
      </c>
      <c r="D6" s="57" t="s">
        <v>20</v>
      </c>
      <c r="E6" s="49">
        <f>SUM(J6:X6)</f>
        <v>0</v>
      </c>
      <c r="F6" s="49">
        <f>'2024'!E6</f>
        <v>1166036.5899999999</v>
      </c>
      <c r="G6" s="49">
        <f>'2025'!E6</f>
        <v>0</v>
      </c>
      <c r="H6" s="49">
        <f>'2026'!E6</f>
        <v>0</v>
      </c>
      <c r="I6" s="49">
        <f>Разд.1.4!V5</f>
        <v>0</v>
      </c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</row>
    <row r="7" spans="1:49" x14ac:dyDescent="0.25">
      <c r="A7" s="68" t="s">
        <v>21</v>
      </c>
      <c r="B7" s="5" t="s">
        <v>22</v>
      </c>
      <c r="C7" s="18" t="s">
        <v>20</v>
      </c>
      <c r="D7" s="18" t="s">
        <v>20</v>
      </c>
      <c r="E7" s="31">
        <f>+E6+E8-E33</f>
        <v>0</v>
      </c>
      <c r="F7" s="31">
        <f>'2024'!E7</f>
        <v>0</v>
      </c>
      <c r="G7" s="49">
        <f>'2025'!E7</f>
        <v>0</v>
      </c>
      <c r="H7" s="49">
        <f>'2026'!E7</f>
        <v>0</v>
      </c>
      <c r="I7" s="31">
        <f>Разд.1.4!V6</f>
        <v>0</v>
      </c>
      <c r="J7" s="31">
        <f t="shared" ref="J7:Y7" si="0">+J6+J8-J33</f>
        <v>0</v>
      </c>
      <c r="K7" s="31">
        <f t="shared" si="0"/>
        <v>0</v>
      </c>
      <c r="L7" s="31">
        <f t="shared" si="0"/>
        <v>0</v>
      </c>
      <c r="M7" s="31">
        <f t="shared" si="0"/>
        <v>0</v>
      </c>
      <c r="N7" s="31">
        <f t="shared" si="0"/>
        <v>0</v>
      </c>
      <c r="O7" s="31">
        <f t="shared" si="0"/>
        <v>0</v>
      </c>
      <c r="P7" s="31">
        <f t="shared" si="0"/>
        <v>0</v>
      </c>
      <c r="Q7" s="31">
        <f t="shared" si="0"/>
        <v>0</v>
      </c>
      <c r="R7" s="31">
        <f t="shared" si="0"/>
        <v>0</v>
      </c>
      <c r="S7" s="31">
        <f t="shared" si="0"/>
        <v>0</v>
      </c>
      <c r="T7" s="31">
        <f t="shared" si="0"/>
        <v>0</v>
      </c>
      <c r="U7" s="31">
        <f t="shared" si="0"/>
        <v>0</v>
      </c>
      <c r="V7" s="31">
        <f t="shared" si="0"/>
        <v>0</v>
      </c>
      <c r="W7" s="31">
        <f t="shared" si="0"/>
        <v>0</v>
      </c>
      <c r="X7" s="31">
        <f t="shared" si="0"/>
        <v>0</v>
      </c>
      <c r="Y7" s="31">
        <f t="shared" si="0"/>
        <v>0</v>
      </c>
      <c r="Z7" s="31"/>
    </row>
    <row r="8" spans="1:49" s="100" customFormat="1" ht="18.75" customHeight="1" x14ac:dyDescent="0.25">
      <c r="A8" s="96" t="s">
        <v>23</v>
      </c>
      <c r="B8" s="97" t="s">
        <v>29</v>
      </c>
      <c r="C8" s="98"/>
      <c r="D8" s="98"/>
      <c r="E8" s="99">
        <f>+E9+E11+E15+E18+E19+E27</f>
        <v>0</v>
      </c>
      <c r="F8" s="99">
        <f>'2024'!E8</f>
        <v>61969472.240000002</v>
      </c>
      <c r="G8" s="99">
        <f>'2025'!E8</f>
        <v>48855247.5</v>
      </c>
      <c r="H8" s="99">
        <f>'2026'!E8</f>
        <v>48884197.299999997</v>
      </c>
      <c r="I8" s="99">
        <f>Разд.1.4!V7</f>
        <v>0</v>
      </c>
      <c r="J8" s="99">
        <f t="shared" ref="J8:Z8" si="1">+J9+J11+J15+J18+J19+J27</f>
        <v>0</v>
      </c>
      <c r="K8" s="99">
        <f t="shared" si="1"/>
        <v>0</v>
      </c>
      <c r="L8" s="99">
        <f t="shared" si="1"/>
        <v>0</v>
      </c>
      <c r="M8" s="99">
        <f t="shared" si="1"/>
        <v>0</v>
      </c>
      <c r="N8" s="99">
        <f t="shared" si="1"/>
        <v>0</v>
      </c>
      <c r="O8" s="99">
        <f t="shared" si="1"/>
        <v>0</v>
      </c>
      <c r="P8" s="99">
        <f t="shared" si="1"/>
        <v>0</v>
      </c>
      <c r="Q8" s="99">
        <f t="shared" si="1"/>
        <v>0</v>
      </c>
      <c r="R8" s="99">
        <f t="shared" si="1"/>
        <v>0</v>
      </c>
      <c r="S8" s="99">
        <f t="shared" si="1"/>
        <v>0</v>
      </c>
      <c r="T8" s="99">
        <f t="shared" si="1"/>
        <v>0</v>
      </c>
      <c r="U8" s="99">
        <f t="shared" si="1"/>
        <v>0</v>
      </c>
      <c r="V8" s="99">
        <f t="shared" si="1"/>
        <v>0</v>
      </c>
      <c r="W8" s="99">
        <f t="shared" si="1"/>
        <v>0</v>
      </c>
      <c r="X8" s="99">
        <f t="shared" si="1"/>
        <v>0</v>
      </c>
      <c r="Y8" s="99">
        <f t="shared" si="1"/>
        <v>0</v>
      </c>
      <c r="Z8" s="99">
        <f t="shared" si="1"/>
        <v>0</v>
      </c>
    </row>
    <row r="9" spans="1:49" s="50" customFormat="1" ht="30" x14ac:dyDescent="0.25">
      <c r="A9" s="91" t="s">
        <v>254</v>
      </c>
      <c r="B9" s="87" t="s">
        <v>31</v>
      </c>
      <c r="C9" s="23">
        <v>120</v>
      </c>
      <c r="D9" s="23"/>
      <c r="E9" s="49"/>
      <c r="F9" s="49">
        <f>'2024'!E9</f>
        <v>720000</v>
      </c>
      <c r="G9" s="49">
        <f>'2025'!E9</f>
        <v>720000</v>
      </c>
      <c r="H9" s="49">
        <f>'2026'!E9</f>
        <v>720000</v>
      </c>
      <c r="I9" s="49">
        <f>Разд.1.4!V8</f>
        <v>0</v>
      </c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</row>
    <row r="10" spans="1:49" x14ac:dyDescent="0.25">
      <c r="A10" s="66" t="s">
        <v>24</v>
      </c>
      <c r="B10" s="3" t="s">
        <v>32</v>
      </c>
      <c r="C10" s="19"/>
      <c r="D10" s="19"/>
      <c r="E10" s="31"/>
      <c r="F10" s="31">
        <f>'2024'!E10</f>
        <v>0</v>
      </c>
      <c r="G10" s="49">
        <f>'2025'!E10</f>
        <v>0</v>
      </c>
      <c r="H10" s="49">
        <f>'2026'!E10</f>
        <v>0</v>
      </c>
      <c r="I10" s="31">
        <f>Разд.1.4!V9</f>
        <v>0</v>
      </c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</row>
    <row r="11" spans="1:49" s="65" customFormat="1" ht="21" customHeight="1" x14ac:dyDescent="0.25">
      <c r="A11" s="93" t="s">
        <v>25</v>
      </c>
      <c r="B11" s="86" t="s">
        <v>33</v>
      </c>
      <c r="C11" s="37">
        <v>130</v>
      </c>
      <c r="D11" s="37"/>
      <c r="E11" s="40">
        <f>+E12+E13</f>
        <v>0</v>
      </c>
      <c r="F11" s="40">
        <f>'2024'!E11</f>
        <v>53641691</v>
      </c>
      <c r="G11" s="40">
        <f>'2025'!E11</f>
        <v>43503228</v>
      </c>
      <c r="H11" s="40">
        <f>'2026'!E11</f>
        <v>43503228</v>
      </c>
      <c r="I11" s="40">
        <f>Разд.1.4!V10</f>
        <v>0</v>
      </c>
      <c r="J11" s="40">
        <f>+J12+J13</f>
        <v>0</v>
      </c>
      <c r="K11" s="40">
        <f t="shared" ref="K11:Z11" si="2">+K12+K13</f>
        <v>0</v>
      </c>
      <c r="L11" s="40">
        <f t="shared" si="2"/>
        <v>0</v>
      </c>
      <c r="M11" s="40">
        <f t="shared" si="2"/>
        <v>0</v>
      </c>
      <c r="N11" s="40">
        <f t="shared" si="2"/>
        <v>0</v>
      </c>
      <c r="O11" s="40">
        <f t="shared" si="2"/>
        <v>0</v>
      </c>
      <c r="P11" s="40">
        <f t="shared" si="2"/>
        <v>0</v>
      </c>
      <c r="Q11" s="40">
        <f t="shared" si="2"/>
        <v>0</v>
      </c>
      <c r="R11" s="40">
        <f t="shared" si="2"/>
        <v>0</v>
      </c>
      <c r="S11" s="40">
        <f t="shared" si="2"/>
        <v>0</v>
      </c>
      <c r="T11" s="40">
        <f t="shared" si="2"/>
        <v>0</v>
      </c>
      <c r="U11" s="40">
        <f t="shared" si="2"/>
        <v>0</v>
      </c>
      <c r="V11" s="40">
        <f t="shared" si="2"/>
        <v>0</v>
      </c>
      <c r="W11" s="40">
        <f t="shared" si="2"/>
        <v>0</v>
      </c>
      <c r="X11" s="40">
        <f t="shared" si="2"/>
        <v>0</v>
      </c>
      <c r="Y11" s="40">
        <f t="shared" si="2"/>
        <v>0</v>
      </c>
      <c r="Z11" s="40">
        <f t="shared" si="2"/>
        <v>0</v>
      </c>
    </row>
    <row r="12" spans="1:49" s="50" customFormat="1" ht="47.25" customHeight="1" x14ac:dyDescent="0.25">
      <c r="A12" s="101" t="s">
        <v>34</v>
      </c>
      <c r="B12" s="102" t="s">
        <v>35</v>
      </c>
      <c r="C12" s="48">
        <v>130</v>
      </c>
      <c r="D12" s="60">
        <f>+E12</f>
        <v>0</v>
      </c>
      <c r="E12" s="40"/>
      <c r="F12" s="40">
        <f>'2024'!E12</f>
        <v>52336951</v>
      </c>
      <c r="G12" s="40">
        <f>'2025'!E12</f>
        <v>42289628</v>
      </c>
      <c r="H12" s="40">
        <f>'2026'!E12</f>
        <v>42289628</v>
      </c>
      <c r="I12" s="40">
        <f>Разд.1.4!V11</f>
        <v>0</v>
      </c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U12" s="227">
        <f>F12+F21</f>
        <v>59944732.240000002</v>
      </c>
      <c r="AV12" s="227">
        <f t="shared" ref="AV12:AW12" si="3">G12+G21</f>
        <v>46921647.5</v>
      </c>
      <c r="AW12" s="227">
        <f t="shared" si="3"/>
        <v>46950597.299999997</v>
      </c>
    </row>
    <row r="13" spans="1:49" ht="33.75" customHeight="1" x14ac:dyDescent="0.25">
      <c r="A13" s="71" t="s">
        <v>26</v>
      </c>
      <c r="B13" s="3" t="s">
        <v>36</v>
      </c>
      <c r="C13" s="19">
        <v>130</v>
      </c>
      <c r="D13" s="19"/>
      <c r="E13" s="31"/>
      <c r="F13" s="31">
        <f>'2024'!E13</f>
        <v>0</v>
      </c>
      <c r="G13" s="49">
        <f>'2025'!E13</f>
        <v>0</v>
      </c>
      <c r="H13" s="49">
        <f>'2026'!E13</f>
        <v>0</v>
      </c>
      <c r="I13" s="31">
        <f>Разд.1.4!V12</f>
        <v>0</v>
      </c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</row>
    <row r="14" spans="1:49" s="50" customFormat="1" x14ac:dyDescent="0.25">
      <c r="A14" s="94" t="s">
        <v>210</v>
      </c>
      <c r="B14" s="87" t="s">
        <v>205</v>
      </c>
      <c r="C14" s="23">
        <v>130</v>
      </c>
      <c r="D14" s="23"/>
      <c r="E14" s="49"/>
      <c r="F14" s="49">
        <f>'2024'!E14</f>
        <v>1304740</v>
      </c>
      <c r="G14" s="49">
        <f>'2025'!E14</f>
        <v>1213600</v>
      </c>
      <c r="H14" s="49">
        <f>'2026'!E14</f>
        <v>1213600</v>
      </c>
      <c r="I14" s="49">
        <f>Разд.1.4!V13</f>
        <v>0</v>
      </c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</row>
    <row r="15" spans="1:49" ht="15" customHeight="1" x14ac:dyDescent="0.25">
      <c r="A15" s="68" t="s">
        <v>27</v>
      </c>
      <c r="B15" s="5" t="s">
        <v>37</v>
      </c>
      <c r="C15" s="18">
        <v>140</v>
      </c>
      <c r="D15" s="18"/>
      <c r="E15" s="31">
        <f>+E16+E17</f>
        <v>0</v>
      </c>
      <c r="F15" s="31">
        <f>'2024'!E15</f>
        <v>0</v>
      </c>
      <c r="G15" s="49">
        <f>'2025'!E15</f>
        <v>0</v>
      </c>
      <c r="H15" s="49">
        <f>'2026'!E15</f>
        <v>0</v>
      </c>
      <c r="I15" s="31">
        <f>Разд.1.4!V14</f>
        <v>0</v>
      </c>
      <c r="J15" s="31">
        <f>+J16+J17</f>
        <v>0</v>
      </c>
      <c r="K15" s="31">
        <f t="shared" ref="K15:Z15" si="4">+K16+K17</f>
        <v>0</v>
      </c>
      <c r="L15" s="31">
        <f t="shared" si="4"/>
        <v>0</v>
      </c>
      <c r="M15" s="31">
        <f t="shared" si="4"/>
        <v>0</v>
      </c>
      <c r="N15" s="31">
        <f t="shared" si="4"/>
        <v>0</v>
      </c>
      <c r="O15" s="31">
        <f t="shared" si="4"/>
        <v>0</v>
      </c>
      <c r="P15" s="31">
        <f t="shared" si="4"/>
        <v>0</v>
      </c>
      <c r="Q15" s="31">
        <f t="shared" si="4"/>
        <v>0</v>
      </c>
      <c r="R15" s="31">
        <f t="shared" si="4"/>
        <v>0</v>
      </c>
      <c r="S15" s="31">
        <f t="shared" si="4"/>
        <v>0</v>
      </c>
      <c r="T15" s="31">
        <f t="shared" si="4"/>
        <v>0</v>
      </c>
      <c r="U15" s="31">
        <f t="shared" si="4"/>
        <v>0</v>
      </c>
      <c r="V15" s="31">
        <f t="shared" si="4"/>
        <v>0</v>
      </c>
      <c r="W15" s="31">
        <f t="shared" si="4"/>
        <v>0</v>
      </c>
      <c r="X15" s="31">
        <f t="shared" si="4"/>
        <v>0</v>
      </c>
      <c r="Y15" s="31">
        <f t="shared" si="4"/>
        <v>0</v>
      </c>
      <c r="Z15" s="31">
        <f t="shared" si="4"/>
        <v>0</v>
      </c>
      <c r="AW15" s="197" t="s">
        <v>212</v>
      </c>
    </row>
    <row r="16" spans="1:49" x14ac:dyDescent="0.25">
      <c r="A16" s="71" t="s">
        <v>24</v>
      </c>
      <c r="B16" s="3" t="s">
        <v>38</v>
      </c>
      <c r="C16" s="19">
        <v>140</v>
      </c>
      <c r="D16" s="19"/>
      <c r="E16" s="31"/>
      <c r="F16" s="31">
        <f>'2024'!E16</f>
        <v>0</v>
      </c>
      <c r="G16" s="49">
        <f>'2025'!E16</f>
        <v>0</v>
      </c>
      <c r="H16" s="49">
        <f>'2026'!E16</f>
        <v>0</v>
      </c>
      <c r="I16" s="31">
        <f>Разд.1.4!V15</f>
        <v>0</v>
      </c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</row>
    <row r="17" spans="1:26" hidden="1" x14ac:dyDescent="0.25">
      <c r="A17" s="66"/>
      <c r="B17" s="3"/>
      <c r="C17" s="19"/>
      <c r="D17" s="19"/>
      <c r="E17" s="31"/>
      <c r="F17" s="31">
        <f>'2024'!E17</f>
        <v>0</v>
      </c>
      <c r="G17" s="49">
        <f>'2025'!E17</f>
        <v>0</v>
      </c>
      <c r="H17" s="49">
        <f>'2026'!E17</f>
        <v>0</v>
      </c>
      <c r="I17" s="31">
        <f>Разд.1.4!V16</f>
        <v>0</v>
      </c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</row>
    <row r="18" spans="1:26" hidden="1" x14ac:dyDescent="0.25">
      <c r="A18" s="184"/>
      <c r="B18" s="3"/>
      <c r="C18" s="19"/>
      <c r="D18" s="18"/>
      <c r="E18" s="31"/>
      <c r="F18" s="31">
        <f>'2024'!E18</f>
        <v>0</v>
      </c>
      <c r="G18" s="49">
        <f>'2025'!E18</f>
        <v>0</v>
      </c>
      <c r="H18" s="49">
        <f>'2026'!E18</f>
        <v>0</v>
      </c>
      <c r="I18" s="31">
        <f>Разд.1.4!V17</f>
        <v>0</v>
      </c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</row>
    <row r="19" spans="1:26" hidden="1" x14ac:dyDescent="0.25">
      <c r="A19" s="66"/>
      <c r="B19" s="3"/>
      <c r="C19" s="19"/>
      <c r="D19" s="19"/>
      <c r="E19" s="31"/>
      <c r="F19" s="31">
        <f>'2024'!E19</f>
        <v>0</v>
      </c>
      <c r="G19" s="49">
        <f>'2025'!E19</f>
        <v>0</v>
      </c>
      <c r="H19" s="49">
        <f>'2026'!E19</f>
        <v>0</v>
      </c>
      <c r="I19" s="31">
        <f>Разд.1.4!V18</f>
        <v>0</v>
      </c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</row>
    <row r="20" spans="1:26" s="50" customFormat="1" x14ac:dyDescent="0.25">
      <c r="A20" s="90" t="s">
        <v>28</v>
      </c>
      <c r="B20" s="86" t="s">
        <v>39</v>
      </c>
      <c r="C20" s="37">
        <v>150</v>
      </c>
      <c r="D20" s="37"/>
      <c r="E20" s="40" t="e">
        <f>+E21+E25+#REF!</f>
        <v>#REF!</v>
      </c>
      <c r="F20" s="40">
        <f>'2024'!E20</f>
        <v>7607781.2400000002</v>
      </c>
      <c r="G20" s="40">
        <f>'2025'!E20</f>
        <v>4632019.5</v>
      </c>
      <c r="H20" s="40">
        <f>'2026'!E20</f>
        <v>4660969.3</v>
      </c>
      <c r="I20" s="40">
        <f>Разд.1.4!V19</f>
        <v>0</v>
      </c>
      <c r="J20" s="49" t="e">
        <f>+J21+J25+#REF!</f>
        <v>#REF!</v>
      </c>
      <c r="K20" s="49" t="e">
        <f>+K21+K25+#REF!</f>
        <v>#REF!</v>
      </c>
      <c r="L20" s="49" t="e">
        <f>+L21+L25+#REF!</f>
        <v>#REF!</v>
      </c>
      <c r="M20" s="49" t="e">
        <f>+M21+M25+#REF!</f>
        <v>#REF!</v>
      </c>
      <c r="N20" s="49" t="e">
        <f>+N21+N25+#REF!</f>
        <v>#REF!</v>
      </c>
      <c r="O20" s="49" t="e">
        <f>+O21+O25+#REF!</f>
        <v>#REF!</v>
      </c>
      <c r="P20" s="49" t="e">
        <f>+P21+P25+#REF!</f>
        <v>#REF!</v>
      </c>
      <c r="Q20" s="49" t="e">
        <f>+Q21+Q25+#REF!</f>
        <v>#REF!</v>
      </c>
      <c r="R20" s="49" t="e">
        <f>+R21+R25+#REF!</f>
        <v>#REF!</v>
      </c>
      <c r="S20" s="49" t="e">
        <f>+S21+S25+#REF!</f>
        <v>#REF!</v>
      </c>
      <c r="T20" s="49" t="e">
        <f>+T21+T25+#REF!</f>
        <v>#REF!</v>
      </c>
      <c r="U20" s="49" t="e">
        <f>+U21+U25+#REF!</f>
        <v>#REF!</v>
      </c>
      <c r="V20" s="49" t="e">
        <f>+V21+V25+#REF!</f>
        <v>#REF!</v>
      </c>
      <c r="W20" s="49" t="e">
        <f>+W21+W25+#REF!</f>
        <v>#REF!</v>
      </c>
      <c r="X20" s="49">
        <f t="shared" ref="X20:Z20" si="5">+X21+X25</f>
        <v>0</v>
      </c>
      <c r="Y20" s="49">
        <f t="shared" si="5"/>
        <v>0</v>
      </c>
      <c r="Z20" s="49">
        <f t="shared" si="5"/>
        <v>0</v>
      </c>
    </row>
    <row r="21" spans="1:26" s="50" customFormat="1" ht="30" x14ac:dyDescent="0.25">
      <c r="A21" s="101" t="s">
        <v>48</v>
      </c>
      <c r="B21" s="102" t="s">
        <v>227</v>
      </c>
      <c r="C21" s="48">
        <v>150</v>
      </c>
      <c r="D21" s="48"/>
      <c r="E21" s="40">
        <f>+E22+E23+E24</f>
        <v>0</v>
      </c>
      <c r="F21" s="40">
        <f>'2024'!E21</f>
        <v>7607781.2400000002</v>
      </c>
      <c r="G21" s="40">
        <f>'2025'!E21</f>
        <v>4632019.5</v>
      </c>
      <c r="H21" s="40">
        <f>'2026'!E21</f>
        <v>4660969.3</v>
      </c>
      <c r="I21" s="40">
        <f>Разд.1.4!V20</f>
        <v>0</v>
      </c>
      <c r="J21" s="30">
        <f>+J22+J23+J24</f>
        <v>0</v>
      </c>
      <c r="K21" s="30">
        <f t="shared" ref="K21:Z21" si="6">+K22+K23+K24</f>
        <v>0</v>
      </c>
      <c r="L21" s="30">
        <f t="shared" si="6"/>
        <v>0</v>
      </c>
      <c r="M21" s="30">
        <f t="shared" si="6"/>
        <v>0</v>
      </c>
      <c r="N21" s="30">
        <f t="shared" si="6"/>
        <v>0</v>
      </c>
      <c r="O21" s="30">
        <f t="shared" si="6"/>
        <v>0</v>
      </c>
      <c r="P21" s="30">
        <f t="shared" si="6"/>
        <v>0</v>
      </c>
      <c r="Q21" s="30">
        <f t="shared" si="6"/>
        <v>0</v>
      </c>
      <c r="R21" s="30">
        <f t="shared" si="6"/>
        <v>0</v>
      </c>
      <c r="S21" s="30">
        <f t="shared" si="6"/>
        <v>0</v>
      </c>
      <c r="T21" s="30">
        <f t="shared" si="6"/>
        <v>0</v>
      </c>
      <c r="U21" s="30">
        <f t="shared" si="6"/>
        <v>0</v>
      </c>
      <c r="V21" s="30">
        <f t="shared" si="6"/>
        <v>0</v>
      </c>
      <c r="W21" s="30">
        <f t="shared" si="6"/>
        <v>0</v>
      </c>
      <c r="X21" s="30">
        <f t="shared" si="6"/>
        <v>0</v>
      </c>
      <c r="Y21" s="30">
        <f t="shared" si="6"/>
        <v>0</v>
      </c>
      <c r="Z21" s="30">
        <f t="shared" si="6"/>
        <v>0</v>
      </c>
    </row>
    <row r="22" spans="1:26" x14ac:dyDescent="0.25">
      <c r="A22" s="71"/>
      <c r="B22" s="3"/>
      <c r="C22" s="19"/>
      <c r="D22" s="19"/>
      <c r="E22" s="31"/>
      <c r="F22" s="31">
        <f>'2024'!E22</f>
        <v>0</v>
      </c>
      <c r="G22" s="49">
        <f>'2025'!E22</f>
        <v>0</v>
      </c>
      <c r="H22" s="49">
        <f>'2026'!E22</f>
        <v>0</v>
      </c>
      <c r="I22" s="31">
        <f>Разд.1.4!V21</f>
        <v>0</v>
      </c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</row>
    <row r="23" spans="1:26" ht="16.5" customHeight="1" x14ac:dyDescent="0.25">
      <c r="A23" s="71" t="s">
        <v>42</v>
      </c>
      <c r="B23" s="3" t="s">
        <v>228</v>
      </c>
      <c r="C23" s="19">
        <v>150</v>
      </c>
      <c r="D23" s="19"/>
      <c r="E23" s="31">
        <f>+K23</f>
        <v>0</v>
      </c>
      <c r="F23" s="31">
        <f>'2024'!E23</f>
        <v>0</v>
      </c>
      <c r="G23" s="49">
        <f>'2025'!E23</f>
        <v>0</v>
      </c>
      <c r="H23" s="49">
        <f>'2026'!E23</f>
        <v>0</v>
      </c>
      <c r="I23" s="31">
        <f>Разд.1.4!V22</f>
        <v>0</v>
      </c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</row>
    <row r="24" spans="1:26" s="50" customFormat="1" x14ac:dyDescent="0.25">
      <c r="A24" s="101" t="s">
        <v>229</v>
      </c>
      <c r="B24" s="102" t="s">
        <v>230</v>
      </c>
      <c r="C24" s="48">
        <v>150</v>
      </c>
      <c r="D24" s="48"/>
      <c r="E24" s="40">
        <f>+L24</f>
        <v>0</v>
      </c>
      <c r="F24" s="40">
        <f>'2024'!E24</f>
        <v>0</v>
      </c>
      <c r="G24" s="40">
        <f>'2025'!E24</f>
        <v>0</v>
      </c>
      <c r="H24" s="40">
        <f>'2026'!E24</f>
        <v>0</v>
      </c>
      <c r="I24" s="40">
        <f>Разд.1.4!V23</f>
        <v>0</v>
      </c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</row>
    <row r="25" spans="1:26" x14ac:dyDescent="0.25">
      <c r="A25" s="68" t="s">
        <v>40</v>
      </c>
      <c r="B25" s="5" t="s">
        <v>41</v>
      </c>
      <c r="C25" s="18">
        <v>180</v>
      </c>
      <c r="D25" s="29"/>
      <c r="E25" s="31">
        <f>+P25</f>
        <v>0</v>
      </c>
      <c r="F25" s="31">
        <f>'2024'!E25</f>
        <v>0</v>
      </c>
      <c r="G25" s="49">
        <f>'2025'!E25</f>
        <v>0</v>
      </c>
      <c r="H25" s="49">
        <f>'2026'!E25</f>
        <v>0</v>
      </c>
      <c r="I25" s="31">
        <f>Разд.1.4!V24</f>
        <v>0</v>
      </c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</row>
    <row r="26" spans="1:26" s="50" customFormat="1" x14ac:dyDescent="0.25">
      <c r="A26" s="71"/>
      <c r="B26" s="3"/>
      <c r="C26" s="19"/>
      <c r="D26" s="30"/>
      <c r="E26" s="49"/>
      <c r="F26" s="31"/>
      <c r="G26" s="49">
        <f>'2025'!E26</f>
        <v>0</v>
      </c>
      <c r="H26" s="49">
        <f>'2026'!E26</f>
        <v>0</v>
      </c>
      <c r="I26" s="49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</row>
    <row r="27" spans="1:26" ht="28.5" x14ac:dyDescent="0.25">
      <c r="A27" s="68" t="s">
        <v>43</v>
      </c>
      <c r="B27" s="5" t="s">
        <v>44</v>
      </c>
      <c r="C27" s="18"/>
      <c r="D27" s="18"/>
      <c r="E27" s="31"/>
      <c r="F27" s="31">
        <f>'2024'!E27</f>
        <v>0</v>
      </c>
      <c r="G27" s="49">
        <f>'2025'!E27</f>
        <v>0</v>
      </c>
      <c r="H27" s="49">
        <f>'2026'!E27</f>
        <v>0</v>
      </c>
      <c r="I27" s="31">
        <f>Разд.1.4!V26</f>
        <v>0</v>
      </c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</row>
    <row r="28" spans="1:26" x14ac:dyDescent="0.25">
      <c r="A28" s="66" t="s">
        <v>24</v>
      </c>
      <c r="B28" s="3"/>
      <c r="C28" s="19"/>
      <c r="D28" s="19"/>
      <c r="E28" s="31"/>
      <c r="F28" s="31">
        <f>'2024'!E28</f>
        <v>0</v>
      </c>
      <c r="G28" s="49">
        <f>'2025'!E28</f>
        <v>0</v>
      </c>
      <c r="H28" s="49">
        <f>'2026'!E28</f>
        <v>0</v>
      </c>
      <c r="I28" s="31">
        <f>Разд.1.4!V27</f>
        <v>0</v>
      </c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</row>
    <row r="29" spans="1:26" x14ac:dyDescent="0.25">
      <c r="A29" s="66"/>
      <c r="B29" s="3"/>
      <c r="C29" s="19"/>
      <c r="D29" s="19"/>
      <c r="E29" s="31"/>
      <c r="F29" s="31">
        <f>'2024'!E29</f>
        <v>0</v>
      </c>
      <c r="G29" s="49">
        <f>'2025'!E29</f>
        <v>0</v>
      </c>
      <c r="H29" s="49">
        <f>'2026'!E29</f>
        <v>0</v>
      </c>
      <c r="I29" s="31">
        <f>Разд.1.4!V28</f>
        <v>0</v>
      </c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</row>
    <row r="30" spans="1:26" x14ac:dyDescent="0.25">
      <c r="A30" s="66" t="s">
        <v>45</v>
      </c>
      <c r="B30" s="3" t="s">
        <v>46</v>
      </c>
      <c r="C30" s="19" t="s">
        <v>20</v>
      </c>
      <c r="D30" s="19"/>
      <c r="E30" s="31"/>
      <c r="F30" s="31">
        <f>'2024'!E30</f>
        <v>0</v>
      </c>
      <c r="G30" s="49">
        <f>'2025'!E30</f>
        <v>0</v>
      </c>
      <c r="H30" s="49">
        <f>'2026'!E30</f>
        <v>0</v>
      </c>
      <c r="I30" s="31">
        <f>Разд.1.4!V29</f>
        <v>0</v>
      </c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</row>
    <row r="31" spans="1:26" ht="32.25" customHeight="1" x14ac:dyDescent="0.25">
      <c r="A31" s="92" t="s">
        <v>194</v>
      </c>
      <c r="B31" s="3" t="s">
        <v>47</v>
      </c>
      <c r="C31" s="19">
        <v>510</v>
      </c>
      <c r="D31" s="19"/>
      <c r="E31" s="31"/>
      <c r="F31" s="31">
        <f>'2024'!E31</f>
        <v>0</v>
      </c>
      <c r="G31" s="49">
        <f>'2025'!E31</f>
        <v>0</v>
      </c>
      <c r="H31" s="49">
        <f>'2026'!E31</f>
        <v>0</v>
      </c>
      <c r="I31" s="31" t="str">
        <f>Разд.1.4!V30</f>
        <v>Х</v>
      </c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 t="s">
        <v>20</v>
      </c>
    </row>
    <row r="32" spans="1:26" ht="15.75" customHeight="1" x14ac:dyDescent="0.25">
      <c r="A32" s="66"/>
      <c r="B32" s="3"/>
      <c r="C32" s="19"/>
      <c r="D32" s="19"/>
      <c r="E32" s="31"/>
      <c r="F32" s="31">
        <f>'2024'!E32</f>
        <v>0</v>
      </c>
      <c r="G32" s="49">
        <f>'2025'!E32</f>
        <v>0</v>
      </c>
      <c r="H32" s="49">
        <f>'2026'!E32</f>
        <v>0</v>
      </c>
      <c r="I32" s="31" t="str">
        <f>Разд.1.4!V31</f>
        <v>Х</v>
      </c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 t="s">
        <v>20</v>
      </c>
    </row>
    <row r="33" spans="1:26" s="100" customFormat="1" ht="21" customHeight="1" x14ac:dyDescent="0.25">
      <c r="A33" s="96" t="s">
        <v>49</v>
      </c>
      <c r="B33" s="97" t="s">
        <v>52</v>
      </c>
      <c r="C33" s="98" t="s">
        <v>20</v>
      </c>
      <c r="D33" s="98"/>
      <c r="E33" s="99">
        <f>+E34+E46+E53+E59+E64+E66+E83+E87</f>
        <v>0</v>
      </c>
      <c r="F33" s="99">
        <f>'2024'!E33</f>
        <v>63135508.829999998</v>
      </c>
      <c r="G33" s="99">
        <f>'2025'!E33</f>
        <v>48855247.5</v>
      </c>
      <c r="H33" s="99">
        <f>'2026'!E33</f>
        <v>48884197.300000004</v>
      </c>
      <c r="I33" s="99" t="str">
        <f>Разд.1.4!V32</f>
        <v>Х</v>
      </c>
      <c r="J33" s="99">
        <f>+J34+J46+J53+J59+J64+J66+J83+J87</f>
        <v>0</v>
      </c>
      <c r="K33" s="99">
        <f t="shared" ref="K33:Y33" si="7">+K34+K46+K53+K59+K64+K66+K83+K87</f>
        <v>0</v>
      </c>
      <c r="L33" s="99">
        <f t="shared" si="7"/>
        <v>0</v>
      </c>
      <c r="M33" s="99">
        <f t="shared" si="7"/>
        <v>0</v>
      </c>
      <c r="N33" s="99">
        <f t="shared" si="7"/>
        <v>0</v>
      </c>
      <c r="O33" s="99">
        <f t="shared" si="7"/>
        <v>0</v>
      </c>
      <c r="P33" s="99">
        <f t="shared" si="7"/>
        <v>0</v>
      </c>
      <c r="Q33" s="99">
        <f t="shared" si="7"/>
        <v>0</v>
      </c>
      <c r="R33" s="99">
        <f t="shared" si="7"/>
        <v>0</v>
      </c>
      <c r="S33" s="99">
        <f t="shared" si="7"/>
        <v>0</v>
      </c>
      <c r="T33" s="99">
        <f t="shared" si="7"/>
        <v>0</v>
      </c>
      <c r="U33" s="99">
        <f t="shared" si="7"/>
        <v>0</v>
      </c>
      <c r="V33" s="99">
        <f t="shared" si="7"/>
        <v>0</v>
      </c>
      <c r="W33" s="99">
        <f t="shared" si="7"/>
        <v>0</v>
      </c>
      <c r="X33" s="99">
        <f t="shared" si="7"/>
        <v>0</v>
      </c>
      <c r="Y33" s="99">
        <f t="shared" si="7"/>
        <v>0</v>
      </c>
      <c r="Z33" s="99" t="s">
        <v>20</v>
      </c>
    </row>
    <row r="34" spans="1:26" s="65" customFormat="1" ht="28.5" x14ac:dyDescent="0.25">
      <c r="A34" s="90" t="s">
        <v>50</v>
      </c>
      <c r="B34" s="86" t="s">
        <v>53</v>
      </c>
      <c r="C34" s="37" t="s">
        <v>20</v>
      </c>
      <c r="D34" s="37"/>
      <c r="E34" s="40">
        <f>+E35+E38+E41+E42+E43</f>
        <v>0</v>
      </c>
      <c r="F34" s="40">
        <f>'2024'!E34</f>
        <v>46422859.450000003</v>
      </c>
      <c r="G34" s="40">
        <f>'2025'!E34</f>
        <v>43183271.369999997</v>
      </c>
      <c r="H34" s="40">
        <f>'2026'!E34</f>
        <v>43280221.170000002</v>
      </c>
      <c r="I34" s="40" t="str">
        <f>Разд.1.4!V33</f>
        <v>Х</v>
      </c>
      <c r="J34" s="40">
        <f>+J35+J38+J41+J42</f>
        <v>0</v>
      </c>
      <c r="K34" s="40">
        <f t="shared" ref="K34:W34" si="8">+K35+K38+K41+K42</f>
        <v>0</v>
      </c>
      <c r="L34" s="40">
        <f t="shared" si="8"/>
        <v>0</v>
      </c>
      <c r="M34" s="40">
        <f t="shared" si="8"/>
        <v>0</v>
      </c>
      <c r="N34" s="40">
        <f t="shared" si="8"/>
        <v>0</v>
      </c>
      <c r="O34" s="40">
        <f t="shared" si="8"/>
        <v>0</v>
      </c>
      <c r="P34" s="40">
        <f t="shared" si="8"/>
        <v>0</v>
      </c>
      <c r="Q34" s="40">
        <f t="shared" si="8"/>
        <v>0</v>
      </c>
      <c r="R34" s="40">
        <f t="shared" si="8"/>
        <v>0</v>
      </c>
      <c r="S34" s="40">
        <f t="shared" si="8"/>
        <v>0</v>
      </c>
      <c r="T34" s="40">
        <f t="shared" si="8"/>
        <v>0</v>
      </c>
      <c r="U34" s="40">
        <f t="shared" si="8"/>
        <v>0</v>
      </c>
      <c r="V34" s="40">
        <f t="shared" si="8"/>
        <v>0</v>
      </c>
      <c r="W34" s="40">
        <f t="shared" si="8"/>
        <v>0</v>
      </c>
      <c r="X34" s="40"/>
      <c r="Y34" s="40"/>
      <c r="Z34" s="40" t="s">
        <v>20</v>
      </c>
    </row>
    <row r="35" spans="1:26" s="50" customFormat="1" ht="30" x14ac:dyDescent="0.25">
      <c r="A35" s="94" t="s">
        <v>51</v>
      </c>
      <c r="B35" s="87" t="s">
        <v>54</v>
      </c>
      <c r="C35" s="23">
        <v>111</v>
      </c>
      <c r="D35" s="23"/>
      <c r="E35" s="49">
        <f>SUM(J35:X35)</f>
        <v>0</v>
      </c>
      <c r="F35" s="49">
        <f>'2024'!E35</f>
        <v>35675914</v>
      </c>
      <c r="G35" s="49">
        <f>'2025'!E35</f>
        <v>33187751</v>
      </c>
      <c r="H35" s="49">
        <f>'2026'!E35</f>
        <v>33262212.800000001</v>
      </c>
      <c r="I35" s="49" t="str">
        <f>Разд.1.4!V34</f>
        <v>Х</v>
      </c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 t="s">
        <v>20</v>
      </c>
    </row>
    <row r="36" spans="1:26" s="50" customFormat="1" x14ac:dyDescent="0.25">
      <c r="A36" s="94" t="s">
        <v>55</v>
      </c>
      <c r="B36" s="87" t="s">
        <v>56</v>
      </c>
      <c r="C36" s="23">
        <v>112</v>
      </c>
      <c r="D36" s="23"/>
      <c r="E36" s="49">
        <f t="shared" ref="E36:E37" si="9">SUM(J36:X36)</f>
        <v>0</v>
      </c>
      <c r="F36" s="49">
        <f>'2024'!E36</f>
        <v>0</v>
      </c>
      <c r="G36" s="49">
        <f>'2025'!E36</f>
        <v>0</v>
      </c>
      <c r="H36" s="49">
        <f>'2026'!E36</f>
        <v>0</v>
      </c>
      <c r="I36" s="49" t="str">
        <f>Разд.1.4!V35</f>
        <v>Х</v>
      </c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 t="s">
        <v>20</v>
      </c>
    </row>
    <row r="37" spans="1:26" ht="18.75" customHeight="1" x14ac:dyDescent="0.25">
      <c r="A37" s="71" t="s">
        <v>58</v>
      </c>
      <c r="B37" s="3" t="s">
        <v>57</v>
      </c>
      <c r="C37" s="19">
        <v>113</v>
      </c>
      <c r="D37" s="19"/>
      <c r="E37" s="31">
        <f t="shared" si="9"/>
        <v>0</v>
      </c>
      <c r="F37" s="31">
        <f>'2024'!E37</f>
        <v>0</v>
      </c>
      <c r="G37" s="49">
        <f>'2025'!E37</f>
        <v>0</v>
      </c>
      <c r="H37" s="49">
        <f>'2026'!E37</f>
        <v>0</v>
      </c>
      <c r="I37" s="31" t="str">
        <f>Разд.1.4!V36</f>
        <v>Х</v>
      </c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 t="s">
        <v>20</v>
      </c>
    </row>
    <row r="38" spans="1:26" s="65" customFormat="1" ht="30" x14ac:dyDescent="0.25">
      <c r="A38" s="101" t="s">
        <v>59</v>
      </c>
      <c r="B38" s="102" t="s">
        <v>60</v>
      </c>
      <c r="C38" s="48">
        <v>119</v>
      </c>
      <c r="D38" s="48"/>
      <c r="E38" s="40">
        <f>+E39+E40</f>
        <v>0</v>
      </c>
      <c r="F38" s="40">
        <f>'2024'!E38</f>
        <v>10746945.449999999</v>
      </c>
      <c r="G38" s="40">
        <f>'2025'!E38</f>
        <v>9995520.3699999992</v>
      </c>
      <c r="H38" s="40">
        <f>'2026'!E38</f>
        <v>10018008.369999999</v>
      </c>
      <c r="I38" s="40" t="str">
        <f>Разд.1.4!V37</f>
        <v>Х</v>
      </c>
      <c r="J38" s="60">
        <f>+J39+J40</f>
        <v>0</v>
      </c>
      <c r="K38" s="60">
        <f t="shared" ref="K38:W38" si="10">+K39+K40</f>
        <v>0</v>
      </c>
      <c r="L38" s="60">
        <f t="shared" si="10"/>
        <v>0</v>
      </c>
      <c r="M38" s="60">
        <f t="shared" si="10"/>
        <v>0</v>
      </c>
      <c r="N38" s="60">
        <f t="shared" si="10"/>
        <v>0</v>
      </c>
      <c r="O38" s="60">
        <f t="shared" si="10"/>
        <v>0</v>
      </c>
      <c r="P38" s="60">
        <f t="shared" si="10"/>
        <v>0</v>
      </c>
      <c r="Q38" s="60">
        <f t="shared" si="10"/>
        <v>0</v>
      </c>
      <c r="R38" s="60">
        <f t="shared" si="10"/>
        <v>0</v>
      </c>
      <c r="S38" s="60">
        <f t="shared" si="10"/>
        <v>0</v>
      </c>
      <c r="T38" s="60">
        <f t="shared" si="10"/>
        <v>0</v>
      </c>
      <c r="U38" s="60">
        <f t="shared" si="10"/>
        <v>0</v>
      </c>
      <c r="V38" s="60">
        <f t="shared" si="10"/>
        <v>0</v>
      </c>
      <c r="W38" s="60">
        <f t="shared" si="10"/>
        <v>0</v>
      </c>
      <c r="X38" s="60"/>
      <c r="Y38" s="60"/>
      <c r="Z38" s="60" t="s">
        <v>20</v>
      </c>
    </row>
    <row r="39" spans="1:26" s="50" customFormat="1" ht="30" x14ac:dyDescent="0.25">
      <c r="A39" s="94" t="s">
        <v>62</v>
      </c>
      <c r="B39" s="87" t="s">
        <v>61</v>
      </c>
      <c r="C39" s="23">
        <v>119</v>
      </c>
      <c r="D39" s="23"/>
      <c r="E39" s="49">
        <f t="shared" ref="E39:E45" si="11">SUM(J39:X39)</f>
        <v>0</v>
      </c>
      <c r="F39" s="49">
        <f>'2024'!E39</f>
        <v>10746945.449999999</v>
      </c>
      <c r="G39" s="49">
        <f>'2025'!E39</f>
        <v>9995520.3699999992</v>
      </c>
      <c r="H39" s="49">
        <f>'2026'!E39</f>
        <v>10018008.369999999</v>
      </c>
      <c r="I39" s="49" t="str">
        <f>Разд.1.4!V38</f>
        <v>Х</v>
      </c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 t="s">
        <v>20</v>
      </c>
    </row>
    <row r="40" spans="1:26" x14ac:dyDescent="0.25">
      <c r="A40" s="71" t="s">
        <v>63</v>
      </c>
      <c r="B40" s="3" t="s">
        <v>65</v>
      </c>
      <c r="C40" s="19">
        <v>119</v>
      </c>
      <c r="D40" s="19"/>
      <c r="E40" s="31">
        <f t="shared" si="11"/>
        <v>0</v>
      </c>
      <c r="F40" s="31">
        <f>'2024'!E40</f>
        <v>0</v>
      </c>
      <c r="G40" s="49">
        <f>'2025'!E40</f>
        <v>0</v>
      </c>
      <c r="H40" s="49">
        <f>'2026'!E40</f>
        <v>0</v>
      </c>
      <c r="I40" s="31" t="str">
        <f>Разд.1.4!V39</f>
        <v>Х</v>
      </c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 t="s">
        <v>20</v>
      </c>
    </row>
    <row r="41" spans="1:26" ht="20.25" customHeight="1" x14ac:dyDescent="0.25">
      <c r="A41" s="66" t="s">
        <v>64</v>
      </c>
      <c r="B41" s="3" t="s">
        <v>66</v>
      </c>
      <c r="C41" s="19">
        <v>131</v>
      </c>
      <c r="D41" s="19"/>
      <c r="E41" s="31">
        <f t="shared" si="11"/>
        <v>0</v>
      </c>
      <c r="F41" s="31">
        <f>'2024'!E41</f>
        <v>0</v>
      </c>
      <c r="G41" s="49">
        <f>'2025'!E41</f>
        <v>0</v>
      </c>
      <c r="H41" s="49">
        <f>'2026'!E41</f>
        <v>0</v>
      </c>
      <c r="I41" s="31" t="str">
        <f>Разд.1.4!V40</f>
        <v>Х</v>
      </c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 t="s">
        <v>20</v>
      </c>
    </row>
    <row r="42" spans="1:26" ht="16.5" customHeight="1" x14ac:dyDescent="0.25">
      <c r="A42" s="66" t="s">
        <v>231</v>
      </c>
      <c r="B42" s="3" t="s">
        <v>67</v>
      </c>
      <c r="C42" s="19">
        <v>133</v>
      </c>
      <c r="D42" s="19"/>
      <c r="E42" s="31">
        <f t="shared" si="11"/>
        <v>0</v>
      </c>
      <c r="F42" s="31">
        <f>'2024'!E42</f>
        <v>0</v>
      </c>
      <c r="G42" s="49">
        <f>'2025'!E42</f>
        <v>0</v>
      </c>
      <c r="H42" s="49">
        <f>'2026'!E42</f>
        <v>0</v>
      </c>
      <c r="I42" s="31" t="str">
        <f>Разд.1.4!V41</f>
        <v>Х</v>
      </c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 t="s">
        <v>20</v>
      </c>
    </row>
    <row r="43" spans="1:26" x14ac:dyDescent="0.25">
      <c r="A43" s="66" t="s">
        <v>232</v>
      </c>
      <c r="B43" s="3" t="s">
        <v>69</v>
      </c>
      <c r="C43" s="19">
        <v>134</v>
      </c>
      <c r="D43" s="19"/>
      <c r="E43" s="31">
        <f t="shared" si="11"/>
        <v>0</v>
      </c>
      <c r="F43" s="31">
        <f>'2024'!E43</f>
        <v>0</v>
      </c>
      <c r="G43" s="49">
        <f>'2025'!E43</f>
        <v>0</v>
      </c>
      <c r="H43" s="49">
        <f>'2026'!E43</f>
        <v>0</v>
      </c>
      <c r="I43" s="31" t="str">
        <f>Разд.1.4!V42</f>
        <v>Х</v>
      </c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 t="s">
        <v>20</v>
      </c>
    </row>
    <row r="44" spans="1:26" ht="30" x14ac:dyDescent="0.25">
      <c r="A44" s="66" t="s">
        <v>68</v>
      </c>
      <c r="B44" s="3" t="s">
        <v>233</v>
      </c>
      <c r="C44" s="19">
        <v>139</v>
      </c>
      <c r="D44" s="19"/>
      <c r="E44" s="31">
        <f t="shared" si="11"/>
        <v>0</v>
      </c>
      <c r="F44" s="31">
        <f>'2024'!E44</f>
        <v>0</v>
      </c>
      <c r="G44" s="49">
        <f>'2025'!E44</f>
        <v>0</v>
      </c>
      <c r="H44" s="49">
        <f>'2026'!E44</f>
        <v>0</v>
      </c>
      <c r="I44" s="31" t="str">
        <f>Разд.1.4!V43</f>
        <v>Х</v>
      </c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 t="s">
        <v>20</v>
      </c>
    </row>
    <row r="45" spans="1:26" ht="30" x14ac:dyDescent="0.25">
      <c r="A45" s="71" t="s">
        <v>70</v>
      </c>
      <c r="B45" s="3" t="s">
        <v>234</v>
      </c>
      <c r="C45" s="19">
        <v>139</v>
      </c>
      <c r="D45" s="19"/>
      <c r="E45" s="31">
        <f t="shared" si="11"/>
        <v>0</v>
      </c>
      <c r="F45" s="31">
        <f>'2024'!E45</f>
        <v>0</v>
      </c>
      <c r="G45" s="49">
        <f>'2025'!E45</f>
        <v>0</v>
      </c>
      <c r="H45" s="49">
        <f>'2026'!E45</f>
        <v>0</v>
      </c>
      <c r="I45" s="31" t="str">
        <f>Разд.1.4!V44</f>
        <v>Х</v>
      </c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 t="s">
        <v>20</v>
      </c>
    </row>
    <row r="46" spans="1:26" x14ac:dyDescent="0.25">
      <c r="A46" s="68" t="s">
        <v>72</v>
      </c>
      <c r="B46" s="5" t="s">
        <v>71</v>
      </c>
      <c r="C46" s="18">
        <v>300</v>
      </c>
      <c r="D46" s="18"/>
      <c r="E46" s="31">
        <f>+E47+E48</f>
        <v>0</v>
      </c>
      <c r="F46" s="31">
        <f>'2024'!E46</f>
        <v>0</v>
      </c>
      <c r="G46" s="49">
        <f>'2025'!E46</f>
        <v>0</v>
      </c>
      <c r="H46" s="49">
        <f>'2026'!E46</f>
        <v>0</v>
      </c>
      <c r="I46" s="31" t="str">
        <f>Разд.1.4!V45</f>
        <v>Х</v>
      </c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 t="s">
        <v>20</v>
      </c>
    </row>
    <row r="47" spans="1:26" ht="32.25" customHeight="1" x14ac:dyDescent="0.25">
      <c r="A47" s="71" t="s">
        <v>73</v>
      </c>
      <c r="B47" s="3" t="s">
        <v>74</v>
      </c>
      <c r="C47" s="159">
        <v>320</v>
      </c>
      <c r="D47" s="19"/>
      <c r="E47" s="31">
        <f t="shared" ref="E47:E52" si="12">SUM(J47:X47)</f>
        <v>0</v>
      </c>
      <c r="F47" s="31">
        <f>'2024'!E47</f>
        <v>0</v>
      </c>
      <c r="G47" s="49">
        <f>'2025'!E47</f>
        <v>0</v>
      </c>
      <c r="H47" s="49">
        <f>'2026'!E47</f>
        <v>0</v>
      </c>
      <c r="I47" s="31" t="str">
        <f>Разд.1.4!V46</f>
        <v>Х</v>
      </c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 t="s">
        <v>20</v>
      </c>
    </row>
    <row r="48" spans="1:26" ht="33.75" customHeight="1" x14ac:dyDescent="0.25">
      <c r="A48" s="71" t="s">
        <v>101</v>
      </c>
      <c r="B48" s="3" t="s">
        <v>75</v>
      </c>
      <c r="C48" s="19">
        <v>321</v>
      </c>
      <c r="D48" s="19"/>
      <c r="E48" s="31">
        <f t="shared" si="12"/>
        <v>0</v>
      </c>
      <c r="F48" s="31">
        <f>'2024'!E48</f>
        <v>0</v>
      </c>
      <c r="G48" s="49">
        <f>'2025'!E48</f>
        <v>0</v>
      </c>
      <c r="H48" s="49">
        <f>'2026'!E48</f>
        <v>0</v>
      </c>
      <c r="I48" s="31" t="str">
        <f>Разд.1.4!V47</f>
        <v>Х</v>
      </c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 t="s">
        <v>20</v>
      </c>
    </row>
    <row r="49" spans="1:26" ht="18" customHeight="1" x14ac:dyDescent="0.25">
      <c r="A49" s="71"/>
      <c r="B49" s="3"/>
      <c r="C49" s="19"/>
      <c r="D49" s="19"/>
      <c r="E49" s="31">
        <f t="shared" si="12"/>
        <v>0</v>
      </c>
      <c r="F49" s="31">
        <f>'2024'!E49</f>
        <v>0</v>
      </c>
      <c r="G49" s="49">
        <f>'2025'!E49</f>
        <v>0</v>
      </c>
      <c r="H49" s="49">
        <f>'2026'!E49</f>
        <v>0</v>
      </c>
      <c r="I49" s="31">
        <f>Разд.1.4!V48</f>
        <v>0</v>
      </c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</row>
    <row r="50" spans="1:26" ht="30" x14ac:dyDescent="0.25">
      <c r="A50" s="71" t="s">
        <v>76</v>
      </c>
      <c r="B50" s="3" t="s">
        <v>77</v>
      </c>
      <c r="C50" s="19">
        <v>340</v>
      </c>
      <c r="D50" s="19"/>
      <c r="E50" s="31">
        <f t="shared" si="12"/>
        <v>0</v>
      </c>
      <c r="F50" s="31">
        <f>'2024'!E50</f>
        <v>0</v>
      </c>
      <c r="G50" s="49">
        <f>'2025'!E50</f>
        <v>0</v>
      </c>
      <c r="H50" s="49">
        <f>'2026'!E50</f>
        <v>0</v>
      </c>
      <c r="I50" s="31" t="str">
        <f>Разд.1.4!V49</f>
        <v>Х</v>
      </c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 t="s">
        <v>20</v>
      </c>
    </row>
    <row r="51" spans="1:26" ht="30" customHeight="1" x14ac:dyDescent="0.25">
      <c r="A51" s="71" t="s">
        <v>79</v>
      </c>
      <c r="B51" s="3" t="s">
        <v>78</v>
      </c>
      <c r="C51" s="19">
        <v>350</v>
      </c>
      <c r="D51" s="19"/>
      <c r="E51" s="31">
        <f t="shared" si="12"/>
        <v>0</v>
      </c>
      <c r="F51" s="31">
        <f>'2024'!E51</f>
        <v>0</v>
      </c>
      <c r="G51" s="49">
        <f>'2025'!E51</f>
        <v>0</v>
      </c>
      <c r="H51" s="49">
        <f>'2026'!E51</f>
        <v>0</v>
      </c>
      <c r="I51" s="31" t="str">
        <f>Разд.1.4!V50</f>
        <v>Х</v>
      </c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 t="s">
        <v>20</v>
      </c>
    </row>
    <row r="52" spans="1:26" ht="15" customHeight="1" x14ac:dyDescent="0.25">
      <c r="A52" s="71" t="s">
        <v>235</v>
      </c>
      <c r="B52" s="3" t="s">
        <v>80</v>
      </c>
      <c r="C52" s="19">
        <v>360</v>
      </c>
      <c r="D52" s="19"/>
      <c r="E52" s="31">
        <f t="shared" si="12"/>
        <v>0</v>
      </c>
      <c r="F52" s="31">
        <f>'2024'!E52</f>
        <v>0</v>
      </c>
      <c r="G52" s="49">
        <f>'2025'!E52</f>
        <v>0</v>
      </c>
      <c r="H52" s="49">
        <f>'2026'!E52</f>
        <v>0</v>
      </c>
      <c r="I52" s="31" t="str">
        <f>Разд.1.4!V51</f>
        <v>Х</v>
      </c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 t="s">
        <v>20</v>
      </c>
    </row>
    <row r="53" spans="1:26" s="65" customFormat="1" x14ac:dyDescent="0.25">
      <c r="A53" s="90" t="s">
        <v>82</v>
      </c>
      <c r="B53" s="86" t="s">
        <v>81</v>
      </c>
      <c r="C53" s="37">
        <v>850</v>
      </c>
      <c r="D53" s="37"/>
      <c r="E53" s="40">
        <f>+E54+E55+E56</f>
        <v>0</v>
      </c>
      <c r="F53" s="40">
        <f>'2024'!E53</f>
        <v>398500</v>
      </c>
      <c r="G53" s="40">
        <f>'2025'!E53</f>
        <v>0</v>
      </c>
      <c r="H53" s="40">
        <f>'2026'!E53</f>
        <v>0</v>
      </c>
      <c r="I53" s="40" t="str">
        <f>Разд.1.4!V52</f>
        <v>Х</v>
      </c>
      <c r="J53" s="40">
        <f>+J54+J55+J56</f>
        <v>0</v>
      </c>
      <c r="K53" s="40">
        <f t="shared" ref="K53:W53" si="13">+K54+K55+K56</f>
        <v>0</v>
      </c>
      <c r="L53" s="40">
        <f t="shared" si="13"/>
        <v>0</v>
      </c>
      <c r="M53" s="40">
        <f t="shared" si="13"/>
        <v>0</v>
      </c>
      <c r="N53" s="40">
        <f t="shared" si="13"/>
        <v>0</v>
      </c>
      <c r="O53" s="40">
        <f t="shared" si="13"/>
        <v>0</v>
      </c>
      <c r="P53" s="40">
        <f t="shared" si="13"/>
        <v>0</v>
      </c>
      <c r="Q53" s="40">
        <f t="shared" si="13"/>
        <v>0</v>
      </c>
      <c r="R53" s="40">
        <f t="shared" si="13"/>
        <v>0</v>
      </c>
      <c r="S53" s="40">
        <f t="shared" si="13"/>
        <v>0</v>
      </c>
      <c r="T53" s="40">
        <f t="shared" si="13"/>
        <v>0</v>
      </c>
      <c r="U53" s="40">
        <f t="shared" si="13"/>
        <v>0</v>
      </c>
      <c r="V53" s="40">
        <f t="shared" si="13"/>
        <v>0</v>
      </c>
      <c r="W53" s="40">
        <f t="shared" si="13"/>
        <v>0</v>
      </c>
      <c r="X53" s="40"/>
      <c r="Y53" s="40"/>
      <c r="Z53" s="40" t="s">
        <v>20</v>
      </c>
    </row>
    <row r="54" spans="1:26" s="50" customFormat="1" ht="30" x14ac:dyDescent="0.25">
      <c r="A54" s="94" t="s">
        <v>83</v>
      </c>
      <c r="B54" s="87" t="s">
        <v>84</v>
      </c>
      <c r="C54" s="23">
        <v>851</v>
      </c>
      <c r="D54" s="23"/>
      <c r="E54" s="49">
        <f t="shared" ref="E54:E56" si="14">SUM(J54:X54)</f>
        <v>0</v>
      </c>
      <c r="F54" s="49">
        <f>'2024'!E54</f>
        <v>395500</v>
      </c>
      <c r="G54" s="49">
        <f>'2025'!E54</f>
        <v>0</v>
      </c>
      <c r="H54" s="49">
        <f>'2026'!E54</f>
        <v>0</v>
      </c>
      <c r="I54" s="49" t="str">
        <f>Разд.1.4!V53</f>
        <v>Х</v>
      </c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 t="s">
        <v>20</v>
      </c>
    </row>
    <row r="55" spans="1:26" s="50" customFormat="1" ht="30" x14ac:dyDescent="0.25">
      <c r="A55" s="94" t="s">
        <v>86</v>
      </c>
      <c r="B55" s="87" t="s">
        <v>85</v>
      </c>
      <c r="C55" s="23">
        <v>852</v>
      </c>
      <c r="D55" s="23"/>
      <c r="E55" s="49">
        <f t="shared" si="14"/>
        <v>0</v>
      </c>
      <c r="F55" s="49">
        <f>'2024'!E55</f>
        <v>0</v>
      </c>
      <c r="G55" s="49">
        <f>'2025'!E55</f>
        <v>0</v>
      </c>
      <c r="H55" s="49">
        <f>'2026'!E55</f>
        <v>0</v>
      </c>
      <c r="I55" s="49" t="str">
        <f>Разд.1.4!V54</f>
        <v>Х</v>
      </c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 t="s">
        <v>20</v>
      </c>
    </row>
    <row r="56" spans="1:26" s="50" customFormat="1" x14ac:dyDescent="0.25">
      <c r="A56" s="94" t="s">
        <v>87</v>
      </c>
      <c r="B56" s="87" t="s">
        <v>88</v>
      </c>
      <c r="C56" s="23">
        <v>853</v>
      </c>
      <c r="D56" s="23"/>
      <c r="E56" s="49">
        <f t="shared" si="14"/>
        <v>0</v>
      </c>
      <c r="F56" s="49">
        <f>'2024'!E56</f>
        <v>3000</v>
      </c>
      <c r="G56" s="49">
        <f>'2025'!E56</f>
        <v>0</v>
      </c>
      <c r="H56" s="49">
        <f>'2026'!E56</f>
        <v>0</v>
      </c>
      <c r="I56" s="49" t="str">
        <f>Разд.1.4!V55</f>
        <v>Х</v>
      </c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 t="s">
        <v>20</v>
      </c>
    </row>
    <row r="57" spans="1:26" s="50" customFormat="1" x14ac:dyDescent="0.25">
      <c r="A57" s="68" t="s">
        <v>90</v>
      </c>
      <c r="B57" s="5" t="s">
        <v>89</v>
      </c>
      <c r="C57" s="18" t="s">
        <v>20</v>
      </c>
      <c r="D57" s="23"/>
      <c r="E57" s="49"/>
      <c r="F57" s="83">
        <f>'2024'!E57</f>
        <v>0</v>
      </c>
      <c r="G57" s="49">
        <f>'2025'!E57</f>
        <v>0</v>
      </c>
      <c r="H57" s="49">
        <f>'2026'!E57</f>
        <v>0</v>
      </c>
      <c r="I57" s="49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</row>
    <row r="58" spans="1:26" s="50" customFormat="1" x14ac:dyDescent="0.25">
      <c r="A58" s="71" t="s">
        <v>236</v>
      </c>
      <c r="B58" s="3" t="s">
        <v>91</v>
      </c>
      <c r="C58" s="159">
        <v>613</v>
      </c>
      <c r="D58" s="23"/>
      <c r="E58" s="49"/>
      <c r="F58" s="31">
        <f>'2024'!E56</f>
        <v>3000</v>
      </c>
      <c r="G58" s="49">
        <f>'2025'!E58</f>
        <v>0</v>
      </c>
      <c r="H58" s="49">
        <f>'2026'!E58</f>
        <v>0</v>
      </c>
      <c r="I58" s="49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</row>
    <row r="59" spans="1:26" ht="18.75" customHeight="1" x14ac:dyDescent="0.25">
      <c r="A59" s="71" t="s">
        <v>237</v>
      </c>
      <c r="B59" s="3" t="s">
        <v>92</v>
      </c>
      <c r="C59" s="159">
        <v>623</v>
      </c>
      <c r="D59" s="18"/>
      <c r="E59" s="31">
        <f>+E61+E62+E63</f>
        <v>0</v>
      </c>
      <c r="F59" s="31">
        <f>'2024'!E57</f>
        <v>0</v>
      </c>
      <c r="G59" s="49">
        <f>'2025'!E59</f>
        <v>0</v>
      </c>
      <c r="H59" s="49">
        <f>'2026'!E59</f>
        <v>0</v>
      </c>
      <c r="I59" s="31" t="str">
        <f>Разд.1.4!V56</f>
        <v>Х</v>
      </c>
      <c r="J59" s="31">
        <f>+J62+J61+J63</f>
        <v>0</v>
      </c>
      <c r="K59" s="31">
        <f t="shared" ref="K59:W59" si="15">+K62+K61+K63</f>
        <v>0</v>
      </c>
      <c r="L59" s="31">
        <f t="shared" si="15"/>
        <v>0</v>
      </c>
      <c r="M59" s="31">
        <f t="shared" si="15"/>
        <v>0</v>
      </c>
      <c r="N59" s="31">
        <f t="shared" si="15"/>
        <v>0</v>
      </c>
      <c r="O59" s="31">
        <f t="shared" si="15"/>
        <v>0</v>
      </c>
      <c r="P59" s="31">
        <f t="shared" si="15"/>
        <v>0</v>
      </c>
      <c r="Q59" s="31">
        <f t="shared" si="15"/>
        <v>0</v>
      </c>
      <c r="R59" s="31">
        <f t="shared" si="15"/>
        <v>0</v>
      </c>
      <c r="S59" s="31">
        <f t="shared" si="15"/>
        <v>0</v>
      </c>
      <c r="T59" s="31">
        <f t="shared" si="15"/>
        <v>0</v>
      </c>
      <c r="U59" s="31">
        <f t="shared" si="15"/>
        <v>0</v>
      </c>
      <c r="V59" s="31">
        <f t="shared" si="15"/>
        <v>0</v>
      </c>
      <c r="W59" s="31">
        <f t="shared" si="15"/>
        <v>0</v>
      </c>
      <c r="X59" s="31"/>
      <c r="Y59" s="31"/>
      <c r="Z59" s="31" t="s">
        <v>20</v>
      </c>
    </row>
    <row r="60" spans="1:26" ht="18.75" customHeight="1" x14ac:dyDescent="0.25">
      <c r="A60" s="71" t="s">
        <v>238</v>
      </c>
      <c r="B60" s="3" t="s">
        <v>95</v>
      </c>
      <c r="C60" s="159">
        <v>634</v>
      </c>
      <c r="D60" s="18"/>
      <c r="E60" s="31"/>
      <c r="F60" s="31">
        <f>'2024'!E58</f>
        <v>0</v>
      </c>
      <c r="G60" s="49">
        <f>'2025'!E60</f>
        <v>0</v>
      </c>
      <c r="H60" s="49">
        <f>'2026'!E60</f>
        <v>0</v>
      </c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</row>
    <row r="61" spans="1:26" x14ac:dyDescent="0.25">
      <c r="A61" s="71" t="s">
        <v>239</v>
      </c>
      <c r="B61" s="3" t="s">
        <v>240</v>
      </c>
      <c r="C61" s="19">
        <v>810</v>
      </c>
      <c r="D61" s="19"/>
      <c r="E61" s="31">
        <f t="shared" ref="E61:E63" si="16">SUM(J61:X61)</f>
        <v>0</v>
      </c>
      <c r="F61" s="31">
        <f>'2024'!E61</f>
        <v>0</v>
      </c>
      <c r="G61" s="49">
        <f>'2025'!E61</f>
        <v>0</v>
      </c>
      <c r="H61" s="49">
        <f>'2026'!E61</f>
        <v>0</v>
      </c>
      <c r="I61" s="31" t="str">
        <f>Разд.1.4!V57</f>
        <v>Х</v>
      </c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 t="s">
        <v>20</v>
      </c>
    </row>
    <row r="62" spans="1:26" x14ac:dyDescent="0.25">
      <c r="A62" s="71" t="s">
        <v>93</v>
      </c>
      <c r="B62" s="3" t="s">
        <v>241</v>
      </c>
      <c r="C62" s="19">
        <v>862</v>
      </c>
      <c r="D62" s="19"/>
      <c r="E62" s="31">
        <f t="shared" si="16"/>
        <v>0</v>
      </c>
      <c r="F62" s="31">
        <f>'2024'!E62</f>
        <v>0</v>
      </c>
      <c r="G62" s="49">
        <f>'2025'!E62</f>
        <v>0</v>
      </c>
      <c r="H62" s="49">
        <f>'2026'!E62</f>
        <v>0</v>
      </c>
      <c r="I62" s="31" t="str">
        <f>Разд.1.4!V58</f>
        <v>Х</v>
      </c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 t="s">
        <v>20</v>
      </c>
    </row>
    <row r="63" spans="1:26" ht="30" x14ac:dyDescent="0.25">
      <c r="A63" s="71" t="s">
        <v>94</v>
      </c>
      <c r="B63" s="3" t="s">
        <v>242</v>
      </c>
      <c r="C63" s="19">
        <v>863</v>
      </c>
      <c r="D63" s="19"/>
      <c r="E63" s="31">
        <f t="shared" si="16"/>
        <v>0</v>
      </c>
      <c r="F63" s="31">
        <f>'2024'!E63</f>
        <v>0</v>
      </c>
      <c r="G63" s="49">
        <f>'2025'!E63</f>
        <v>0</v>
      </c>
      <c r="H63" s="49">
        <f>'2026'!E63</f>
        <v>0</v>
      </c>
      <c r="I63" s="31">
        <f>Разд.1.4!V59</f>
        <v>0</v>
      </c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 t="s">
        <v>20</v>
      </c>
    </row>
    <row r="64" spans="1:26" s="65" customFormat="1" x14ac:dyDescent="0.25">
      <c r="A64" s="90" t="s">
        <v>97</v>
      </c>
      <c r="B64" s="86" t="s">
        <v>98</v>
      </c>
      <c r="C64" s="37" t="s">
        <v>20</v>
      </c>
      <c r="D64" s="37"/>
      <c r="E64" s="40">
        <f>+E65</f>
        <v>0</v>
      </c>
      <c r="F64" s="40">
        <f>'2024'!E64</f>
        <v>0</v>
      </c>
      <c r="G64" s="40">
        <f>'2025'!E64</f>
        <v>0</v>
      </c>
      <c r="H64" s="40">
        <f>'2026'!E64</f>
        <v>0</v>
      </c>
      <c r="I64" s="40">
        <f>Разд.1.4!V60</f>
        <v>0</v>
      </c>
      <c r="J64" s="40">
        <f>+J65</f>
        <v>0</v>
      </c>
      <c r="K64" s="40">
        <f t="shared" ref="K64:W64" si="17">+K65</f>
        <v>0</v>
      </c>
      <c r="L64" s="40">
        <f t="shared" si="17"/>
        <v>0</v>
      </c>
      <c r="M64" s="40">
        <f t="shared" si="17"/>
        <v>0</v>
      </c>
      <c r="N64" s="40">
        <f t="shared" si="17"/>
        <v>0</v>
      </c>
      <c r="O64" s="40">
        <f t="shared" si="17"/>
        <v>0</v>
      </c>
      <c r="P64" s="40">
        <f t="shared" si="17"/>
        <v>0</v>
      </c>
      <c r="Q64" s="40">
        <f t="shared" si="17"/>
        <v>0</v>
      </c>
      <c r="R64" s="40">
        <f t="shared" si="17"/>
        <v>0</v>
      </c>
      <c r="S64" s="40">
        <f t="shared" si="17"/>
        <v>0</v>
      </c>
      <c r="T64" s="40">
        <f t="shared" si="17"/>
        <v>0</v>
      </c>
      <c r="U64" s="40">
        <f t="shared" si="17"/>
        <v>0</v>
      </c>
      <c r="V64" s="40">
        <f t="shared" si="17"/>
        <v>0</v>
      </c>
      <c r="W64" s="40">
        <f t="shared" si="17"/>
        <v>0</v>
      </c>
      <c r="X64" s="40"/>
      <c r="Y64" s="40"/>
      <c r="Z64" s="40" t="s">
        <v>20</v>
      </c>
    </row>
    <row r="65" spans="1:26" s="50" customFormat="1" ht="30" x14ac:dyDescent="0.25">
      <c r="A65" s="71" t="s">
        <v>100</v>
      </c>
      <c r="B65" s="3" t="s">
        <v>99</v>
      </c>
      <c r="C65" s="19">
        <v>831</v>
      </c>
      <c r="D65" s="23"/>
      <c r="E65" s="49">
        <f>SUM(J65:X65)</f>
        <v>0</v>
      </c>
      <c r="F65" s="31">
        <f>'2024'!E65</f>
        <v>0</v>
      </c>
      <c r="G65" s="49">
        <f>'2025'!E65</f>
        <v>0</v>
      </c>
      <c r="H65" s="49">
        <f>'2026'!E65</f>
        <v>0</v>
      </c>
      <c r="I65" s="49">
        <f>Разд.1.4!V61</f>
        <v>0</v>
      </c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 t="s">
        <v>20</v>
      </c>
    </row>
    <row r="66" spans="1:26" s="65" customFormat="1" ht="15.75" customHeight="1" x14ac:dyDescent="0.25">
      <c r="A66" s="90" t="s">
        <v>102</v>
      </c>
      <c r="B66" s="86" t="s">
        <v>96</v>
      </c>
      <c r="C66" s="37" t="s">
        <v>20</v>
      </c>
      <c r="D66" s="37"/>
      <c r="E66" s="40">
        <f>+E67+E68+E69+E70+E79+E71</f>
        <v>0</v>
      </c>
      <c r="F66" s="40">
        <f>'2024'!E66</f>
        <v>16314149.379999999</v>
      </c>
      <c r="G66" s="40">
        <f>'2025'!E66</f>
        <v>5671976.1299999999</v>
      </c>
      <c r="H66" s="40">
        <f>'2026'!E66</f>
        <v>5603976.1299999999</v>
      </c>
      <c r="I66" s="40" t="str">
        <f>Разд.1.4!V62</f>
        <v>Х</v>
      </c>
      <c r="J66" s="40">
        <f>+J67+J68+J69+J70</f>
        <v>0</v>
      </c>
      <c r="K66" s="40">
        <f t="shared" ref="K66:W66" si="18">+K67+K68+K69+K70</f>
        <v>0</v>
      </c>
      <c r="L66" s="40">
        <f t="shared" si="18"/>
        <v>0</v>
      </c>
      <c r="M66" s="40">
        <f t="shared" si="18"/>
        <v>0</v>
      </c>
      <c r="N66" s="40">
        <f t="shared" si="18"/>
        <v>0</v>
      </c>
      <c r="O66" s="40">
        <f t="shared" si="18"/>
        <v>0</v>
      </c>
      <c r="P66" s="40">
        <f t="shared" si="18"/>
        <v>0</v>
      </c>
      <c r="Q66" s="40">
        <f t="shared" si="18"/>
        <v>0</v>
      </c>
      <c r="R66" s="40">
        <f t="shared" si="18"/>
        <v>0</v>
      </c>
      <c r="S66" s="40">
        <f t="shared" si="18"/>
        <v>0</v>
      </c>
      <c r="T66" s="40">
        <f t="shared" si="18"/>
        <v>0</v>
      </c>
      <c r="U66" s="40">
        <f t="shared" si="18"/>
        <v>0</v>
      </c>
      <c r="V66" s="40">
        <f t="shared" si="18"/>
        <v>0</v>
      </c>
      <c r="W66" s="40">
        <f t="shared" si="18"/>
        <v>0</v>
      </c>
      <c r="X66" s="40"/>
      <c r="Y66" s="40"/>
      <c r="Z66" s="40"/>
    </row>
    <row r="67" spans="1:26" ht="30" x14ac:dyDescent="0.25">
      <c r="A67" s="71" t="s">
        <v>104</v>
      </c>
      <c r="B67" s="3" t="s">
        <v>103</v>
      </c>
      <c r="C67" s="19">
        <v>241</v>
      </c>
      <c r="D67" s="19"/>
      <c r="E67" s="31">
        <f t="shared" ref="E67:E81" si="19">SUM(J67:X67)</f>
        <v>0</v>
      </c>
      <c r="F67" s="31">
        <f>'2024'!E67</f>
        <v>0</v>
      </c>
      <c r="G67" s="49">
        <f>'2025'!E67</f>
        <v>0</v>
      </c>
      <c r="H67" s="49">
        <f>'2026'!E67</f>
        <v>0</v>
      </c>
      <c r="I67" s="31" t="str">
        <f>Разд.1.4!V63</f>
        <v>Х</v>
      </c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</row>
    <row r="68" spans="1:26" ht="21" hidden="1" customHeight="1" x14ac:dyDescent="0.25">
      <c r="A68" s="71"/>
      <c r="B68" s="3"/>
      <c r="C68" s="19"/>
      <c r="D68" s="19"/>
      <c r="E68" s="31"/>
      <c r="F68" s="31"/>
      <c r="G68" s="49">
        <f>'2025'!E68</f>
        <v>0</v>
      </c>
      <c r="H68" s="49">
        <f>'2026'!E68</f>
        <v>0</v>
      </c>
      <c r="I68" s="31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</row>
    <row r="69" spans="1:26" ht="17.25" customHeight="1" x14ac:dyDescent="0.25">
      <c r="A69" s="71" t="s">
        <v>106</v>
      </c>
      <c r="B69" s="3" t="s">
        <v>105</v>
      </c>
      <c r="C69" s="19">
        <v>243</v>
      </c>
      <c r="D69" s="19"/>
      <c r="E69" s="31">
        <f t="shared" si="19"/>
        <v>0</v>
      </c>
      <c r="F69" s="31">
        <f>'2024'!E69</f>
        <v>0</v>
      </c>
      <c r="G69" s="49">
        <f>'2025'!E69</f>
        <v>0</v>
      </c>
      <c r="H69" s="49">
        <f>'2026'!E69</f>
        <v>0</v>
      </c>
      <c r="I69" s="31">
        <f>Разд.1.4!V65</f>
        <v>0</v>
      </c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</row>
    <row r="70" spans="1:26" s="156" customFormat="1" x14ac:dyDescent="0.25">
      <c r="A70" s="93" t="s">
        <v>107</v>
      </c>
      <c r="B70" s="86" t="s">
        <v>108</v>
      </c>
      <c r="C70" s="37">
        <v>244</v>
      </c>
      <c r="D70" s="37"/>
      <c r="E70" s="40">
        <f t="shared" si="19"/>
        <v>0</v>
      </c>
      <c r="F70" s="40">
        <f>'2024'!E70</f>
        <v>13717375.379999999</v>
      </c>
      <c r="G70" s="40">
        <f>'2025'!E70</f>
        <v>5241202.13</v>
      </c>
      <c r="H70" s="40">
        <f>'2026'!E70</f>
        <v>5173202.13</v>
      </c>
      <c r="I70" s="40">
        <f>Разд.1.4!V66</f>
        <v>0</v>
      </c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</row>
    <row r="71" spans="1:26" s="50" customFormat="1" ht="30" x14ac:dyDescent="0.25">
      <c r="A71" s="143" t="s">
        <v>129</v>
      </c>
      <c r="B71" s="87" t="s">
        <v>130</v>
      </c>
      <c r="C71" s="23">
        <v>244</v>
      </c>
      <c r="D71" s="23"/>
      <c r="E71" s="30">
        <f t="shared" si="19"/>
        <v>0</v>
      </c>
      <c r="F71" s="30">
        <f>'2024'!E71</f>
        <v>2164338.65</v>
      </c>
      <c r="G71" s="49">
        <f>'2025'!E71</f>
        <v>1676235.13</v>
      </c>
      <c r="H71" s="49">
        <f>'2026'!E71</f>
        <v>1676235.13</v>
      </c>
      <c r="I71" s="30">
        <f>Разд.1.4!V67</f>
        <v>0</v>
      </c>
      <c r="J71" s="30">
        <f>+J73+J74+J75</f>
        <v>0</v>
      </c>
      <c r="K71" s="30">
        <f t="shared" ref="K71:W71" si="20">+K73+K74+K75</f>
        <v>0</v>
      </c>
      <c r="L71" s="30">
        <f t="shared" si="20"/>
        <v>0</v>
      </c>
      <c r="M71" s="30">
        <f t="shared" si="20"/>
        <v>0</v>
      </c>
      <c r="N71" s="30">
        <f t="shared" si="20"/>
        <v>0</v>
      </c>
      <c r="O71" s="30">
        <f t="shared" si="20"/>
        <v>0</v>
      </c>
      <c r="P71" s="30">
        <f t="shared" si="20"/>
        <v>0</v>
      </c>
      <c r="Q71" s="30">
        <f t="shared" si="20"/>
        <v>0</v>
      </c>
      <c r="R71" s="30">
        <f t="shared" si="20"/>
        <v>0</v>
      </c>
      <c r="S71" s="30">
        <f t="shared" si="20"/>
        <v>0</v>
      </c>
      <c r="T71" s="30">
        <f t="shared" si="20"/>
        <v>0</v>
      </c>
      <c r="U71" s="30">
        <f t="shared" si="20"/>
        <v>0</v>
      </c>
      <c r="V71" s="30">
        <f t="shared" si="20"/>
        <v>0</v>
      </c>
      <c r="W71" s="30">
        <f t="shared" si="20"/>
        <v>0</v>
      </c>
      <c r="X71" s="30"/>
      <c r="Y71" s="30"/>
      <c r="Z71" s="30"/>
    </row>
    <row r="72" spans="1:26" s="50" customFormat="1" x14ac:dyDescent="0.25">
      <c r="A72" s="143" t="s">
        <v>123</v>
      </c>
      <c r="B72" s="87"/>
      <c r="C72" s="23"/>
      <c r="D72" s="23"/>
      <c r="E72" s="49">
        <f t="shared" si="19"/>
        <v>0</v>
      </c>
      <c r="F72" s="49">
        <f>'2024'!E72</f>
        <v>0</v>
      </c>
      <c r="G72" s="49">
        <f>'2025'!E72</f>
        <v>0</v>
      </c>
      <c r="H72" s="49">
        <f>'2026'!E72</f>
        <v>0</v>
      </c>
      <c r="I72" s="49">
        <f>Разд.1.4!V68</f>
        <v>0</v>
      </c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</row>
    <row r="73" spans="1:26" s="50" customFormat="1" x14ac:dyDescent="0.25">
      <c r="A73" s="143" t="s">
        <v>125</v>
      </c>
      <c r="B73" s="87" t="s">
        <v>131</v>
      </c>
      <c r="C73" s="23">
        <v>244</v>
      </c>
      <c r="D73" s="23"/>
      <c r="E73" s="49">
        <f t="shared" si="19"/>
        <v>0</v>
      </c>
      <c r="F73" s="49">
        <f>'2024'!E73</f>
        <v>941049.13</v>
      </c>
      <c r="G73" s="49">
        <f>'2025'!E73</f>
        <v>784919.13</v>
      </c>
      <c r="H73" s="49">
        <f>'2026'!E73</f>
        <v>784919.13</v>
      </c>
      <c r="I73" s="49">
        <f>Разд.1.4!V69</f>
        <v>0</v>
      </c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</row>
    <row r="74" spans="1:26" s="84" customFormat="1" x14ac:dyDescent="0.25">
      <c r="A74" s="149" t="s">
        <v>126</v>
      </c>
      <c r="B74" s="103" t="s">
        <v>132</v>
      </c>
      <c r="C74" s="104">
        <v>244</v>
      </c>
      <c r="D74" s="104"/>
      <c r="E74" s="83">
        <f t="shared" si="19"/>
        <v>0</v>
      </c>
      <c r="F74" s="83">
        <f>'2024'!E74</f>
        <v>0</v>
      </c>
      <c r="G74" s="49">
        <f>'2025'!E74</f>
        <v>0</v>
      </c>
      <c r="H74" s="49">
        <f>'2026'!E74</f>
        <v>0</v>
      </c>
      <c r="I74" s="83">
        <f>Разд.1.4!V70</f>
        <v>0</v>
      </c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5"/>
      <c r="Z74" s="105"/>
    </row>
    <row r="75" spans="1:26" s="50" customFormat="1" ht="18.75" customHeight="1" x14ac:dyDescent="0.25">
      <c r="A75" s="143" t="s">
        <v>127</v>
      </c>
      <c r="B75" s="87" t="s">
        <v>133</v>
      </c>
      <c r="C75" s="23">
        <v>244</v>
      </c>
      <c r="D75" s="23"/>
      <c r="E75" s="30">
        <f t="shared" si="19"/>
        <v>0</v>
      </c>
      <c r="F75" s="30">
        <f>'2024'!E75</f>
        <v>1223289.52</v>
      </c>
      <c r="G75" s="49">
        <f>'2025'!E75</f>
        <v>891316</v>
      </c>
      <c r="H75" s="49">
        <f>'2026'!E75</f>
        <v>891316</v>
      </c>
      <c r="I75" s="30">
        <f>Разд.1.4!V71</f>
        <v>0</v>
      </c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</row>
    <row r="76" spans="1:26" s="52" customFormat="1" x14ac:dyDescent="0.25">
      <c r="A76" s="144" t="s">
        <v>128</v>
      </c>
      <c r="B76" s="95"/>
      <c r="C76" s="41"/>
      <c r="D76" s="41"/>
      <c r="E76" s="51">
        <f t="shared" si="19"/>
        <v>0</v>
      </c>
      <c r="F76" s="51">
        <f>'2024'!E76</f>
        <v>807840</v>
      </c>
      <c r="G76" s="175">
        <f>'2025'!E76</f>
        <v>750816</v>
      </c>
      <c r="H76" s="175">
        <f>'2026'!E76</f>
        <v>750816</v>
      </c>
      <c r="I76" s="51">
        <f>Разд.1.4!V72</f>
        <v>0</v>
      </c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</row>
    <row r="77" spans="1:26" s="52" customFormat="1" ht="45" x14ac:dyDescent="0.25">
      <c r="A77" s="182" t="s">
        <v>260</v>
      </c>
      <c r="B77" s="163" t="s">
        <v>124</v>
      </c>
      <c r="C77" s="164">
        <v>246</v>
      </c>
      <c r="D77" s="161"/>
      <c r="E77" s="162"/>
      <c r="F77" s="30">
        <f>'2024'!E77</f>
        <v>0</v>
      </c>
      <c r="G77" s="49">
        <f>'2025'!E77</f>
        <v>0</v>
      </c>
      <c r="H77" s="49">
        <f>'2026'!E77</f>
        <v>0</v>
      </c>
      <c r="I77" s="162"/>
      <c r="J77" s="51"/>
      <c r="K77" s="51"/>
      <c r="L77" s="51"/>
      <c r="M77" s="51"/>
      <c r="N77" s="51"/>
      <c r="O77" s="51"/>
      <c r="P77" s="51"/>
      <c r="Q77" s="160"/>
      <c r="R77" s="160"/>
      <c r="S77" s="160"/>
      <c r="T77" s="160"/>
      <c r="U77" s="160"/>
      <c r="V77" s="160"/>
      <c r="W77" s="160"/>
      <c r="X77" s="160"/>
      <c r="Y77" s="160"/>
      <c r="Z77" s="160"/>
    </row>
    <row r="78" spans="1:26" s="44" customFormat="1" ht="16.5" customHeight="1" x14ac:dyDescent="0.25">
      <c r="A78" s="183" t="s">
        <v>259</v>
      </c>
      <c r="B78" s="165" t="s">
        <v>261</v>
      </c>
      <c r="C78" s="166">
        <v>247</v>
      </c>
      <c r="D78" s="61"/>
      <c r="E78" s="59"/>
      <c r="F78" s="60">
        <f>'2024'!E78</f>
        <v>2596774</v>
      </c>
      <c r="G78" s="40">
        <f>'2025'!E78</f>
        <v>430774</v>
      </c>
      <c r="H78" s="40">
        <f>'2026'!E78</f>
        <v>430774</v>
      </c>
      <c r="I78" s="59"/>
      <c r="J78" s="151"/>
      <c r="K78" s="151"/>
      <c r="L78" s="151"/>
      <c r="M78" s="151"/>
      <c r="N78" s="151"/>
      <c r="O78" s="151"/>
      <c r="P78" s="151"/>
    </row>
    <row r="79" spans="1:26" ht="16.5" customHeight="1" x14ac:dyDescent="0.25">
      <c r="A79" s="66" t="s">
        <v>122</v>
      </c>
      <c r="B79" s="171" t="s">
        <v>262</v>
      </c>
      <c r="C79" s="19">
        <v>400</v>
      </c>
      <c r="D79" s="19"/>
      <c r="E79" s="31">
        <f t="shared" si="19"/>
        <v>0</v>
      </c>
      <c r="F79" s="31">
        <f>'2024'!E79</f>
        <v>0</v>
      </c>
      <c r="G79" s="49">
        <f>'2025'!E79</f>
        <v>0</v>
      </c>
      <c r="H79" s="49">
        <f>'2026'!E79</f>
        <v>0</v>
      </c>
      <c r="I79" s="31">
        <f>Разд.1.4!V73</f>
        <v>0</v>
      </c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</row>
    <row r="80" spans="1:26" ht="30" x14ac:dyDescent="0.25">
      <c r="A80" s="71" t="s">
        <v>109</v>
      </c>
      <c r="B80" s="171" t="s">
        <v>263</v>
      </c>
      <c r="C80" s="19">
        <v>406</v>
      </c>
      <c r="D80" s="19"/>
      <c r="E80" s="31">
        <f t="shared" si="19"/>
        <v>0</v>
      </c>
      <c r="F80" s="31">
        <f>'2024'!E80</f>
        <v>0</v>
      </c>
      <c r="G80" s="49">
        <f>'2025'!E80</f>
        <v>0</v>
      </c>
      <c r="H80" s="49">
        <f>'2026'!E80</f>
        <v>0</v>
      </c>
      <c r="I80" s="31">
        <f>Разд.1.4!V74</f>
        <v>0</v>
      </c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</row>
    <row r="81" spans="1:26" ht="30" x14ac:dyDescent="0.25">
      <c r="A81" s="71" t="s">
        <v>110</v>
      </c>
      <c r="B81" s="171" t="s">
        <v>264</v>
      </c>
      <c r="C81" s="19">
        <v>407</v>
      </c>
      <c r="D81" s="19"/>
      <c r="E81" s="31">
        <f t="shared" si="19"/>
        <v>0</v>
      </c>
      <c r="F81" s="31">
        <f>'2024'!E81</f>
        <v>0</v>
      </c>
      <c r="G81" s="49">
        <f>'2025'!E81</f>
        <v>0</v>
      </c>
      <c r="H81" s="49">
        <f>'2026'!E81</f>
        <v>0</v>
      </c>
      <c r="I81" s="31">
        <f>Разд.1.4!V75</f>
        <v>0</v>
      </c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</row>
    <row r="82" spans="1:26" x14ac:dyDescent="0.25">
      <c r="A82" s="71" t="s">
        <v>288</v>
      </c>
      <c r="B82" s="171" t="s">
        <v>289</v>
      </c>
      <c r="C82" s="19">
        <v>880</v>
      </c>
      <c r="D82" s="19"/>
      <c r="E82" s="31"/>
      <c r="F82" s="31">
        <f>'2024'!E82</f>
        <v>0</v>
      </c>
      <c r="G82" s="49">
        <f>'2025'!E82</f>
        <v>0</v>
      </c>
      <c r="H82" s="49">
        <f>'2026'!E82</f>
        <v>0</v>
      </c>
      <c r="I82" s="31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</row>
    <row r="83" spans="1:26" x14ac:dyDescent="0.25">
      <c r="A83" s="68" t="s">
        <v>111</v>
      </c>
      <c r="B83" s="5" t="s">
        <v>112</v>
      </c>
      <c r="C83" s="18">
        <v>100</v>
      </c>
      <c r="D83" s="18"/>
      <c r="E83" s="31">
        <f>SUM(J83:X83)</f>
        <v>0</v>
      </c>
      <c r="F83" s="31">
        <f>'2024'!E83</f>
        <v>0</v>
      </c>
      <c r="G83" s="49">
        <f>'2025'!E83</f>
        <v>0</v>
      </c>
      <c r="H83" s="49">
        <f>'2026'!E83</f>
        <v>0</v>
      </c>
      <c r="I83" s="31">
        <f>Разд.1.4!V78</f>
        <v>0</v>
      </c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 t="s">
        <v>20</v>
      </c>
    </row>
    <row r="84" spans="1:26" x14ac:dyDescent="0.25">
      <c r="A84" s="71" t="s">
        <v>225</v>
      </c>
      <c r="B84" s="3" t="s">
        <v>113</v>
      </c>
      <c r="C84" s="19"/>
      <c r="D84" s="19"/>
      <c r="E84" s="31">
        <f t="shared" ref="E84:E86" si="21">SUM(J84:X84)</f>
        <v>0</v>
      </c>
      <c r="F84" s="31">
        <f>'2024'!E84</f>
        <v>0</v>
      </c>
      <c r="G84" s="49">
        <f>'2025'!E83</f>
        <v>0</v>
      </c>
      <c r="H84" s="49">
        <f>'2026'!E83</f>
        <v>0</v>
      </c>
      <c r="I84" s="31">
        <f>Разд.1.4!V79</f>
        <v>0</v>
      </c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 t="s">
        <v>20</v>
      </c>
    </row>
    <row r="85" spans="1:26" x14ac:dyDescent="0.25">
      <c r="A85" s="71" t="s">
        <v>115</v>
      </c>
      <c r="B85" s="3" t="s">
        <v>116</v>
      </c>
      <c r="C85" s="19"/>
      <c r="D85" s="19"/>
      <c r="E85" s="31">
        <f t="shared" si="21"/>
        <v>0</v>
      </c>
      <c r="F85" s="31">
        <f>'2024'!E85</f>
        <v>0</v>
      </c>
      <c r="G85" s="49">
        <f>'2025'!E84</f>
        <v>0</v>
      </c>
      <c r="H85" s="49">
        <f>'2026'!E84</f>
        <v>0</v>
      </c>
      <c r="I85" s="31">
        <f>Разд.1.4!V80</f>
        <v>0</v>
      </c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 t="s">
        <v>20</v>
      </c>
    </row>
    <row r="86" spans="1:26" x14ac:dyDescent="0.25">
      <c r="A86" s="71" t="s">
        <v>118</v>
      </c>
      <c r="B86" s="3" t="s">
        <v>117</v>
      </c>
      <c r="C86" s="19"/>
      <c r="D86" s="19"/>
      <c r="E86" s="31">
        <f t="shared" si="21"/>
        <v>0</v>
      </c>
      <c r="F86" s="31">
        <f>'2024'!E86</f>
        <v>0</v>
      </c>
      <c r="G86" s="49">
        <f>'2025'!E85</f>
        <v>0</v>
      </c>
      <c r="H86" s="49">
        <f>'2026'!E85</f>
        <v>0</v>
      </c>
      <c r="I86" s="31" t="str">
        <f>Разд.1.4!V82</f>
        <v>Х</v>
      </c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 t="s">
        <v>20</v>
      </c>
    </row>
    <row r="87" spans="1:26" x14ac:dyDescent="0.25">
      <c r="A87" s="68" t="s">
        <v>119</v>
      </c>
      <c r="B87" s="5" t="s">
        <v>120</v>
      </c>
      <c r="C87" s="18" t="s">
        <v>20</v>
      </c>
      <c r="D87" s="18"/>
      <c r="E87" s="31"/>
      <c r="F87" s="31">
        <f>'2024'!E87</f>
        <v>0</v>
      </c>
      <c r="G87" s="49">
        <f>'2025'!E86</f>
        <v>0</v>
      </c>
      <c r="H87" s="49">
        <f>'2026'!E86</f>
        <v>0</v>
      </c>
      <c r="I87" s="31" t="str">
        <f>Разд.1.4!V83</f>
        <v>Х</v>
      </c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 t="s">
        <v>20</v>
      </c>
    </row>
    <row r="88" spans="1:26" x14ac:dyDescent="0.25">
      <c r="A88" s="71" t="s">
        <v>224</v>
      </c>
      <c r="B88" s="3" t="s">
        <v>121</v>
      </c>
      <c r="C88" s="19">
        <v>610</v>
      </c>
      <c r="D88" s="19"/>
      <c r="E88" s="29">
        <f>SUM(J88:X88)</f>
        <v>0</v>
      </c>
      <c r="F88" s="31">
        <f>'2024'!E88</f>
        <v>0</v>
      </c>
      <c r="G88" s="49">
        <f>'2025'!E87</f>
        <v>0</v>
      </c>
      <c r="H88" s="49">
        <f>'2026'!E87</f>
        <v>0</v>
      </c>
      <c r="I88" s="31" t="str">
        <f>Разд.1.4!V84</f>
        <v>Х</v>
      </c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 t="s">
        <v>20</v>
      </c>
    </row>
  </sheetData>
  <mergeCells count="17">
    <mergeCell ref="AA3:AA4"/>
    <mergeCell ref="A2:Z2"/>
    <mergeCell ref="A3:A4"/>
    <mergeCell ref="B3:B4"/>
    <mergeCell ref="C3:C4"/>
    <mergeCell ref="D3:D4"/>
    <mergeCell ref="E3:E4"/>
    <mergeCell ref="J3:J4"/>
    <mergeCell ref="K3:O3"/>
    <mergeCell ref="P3:P4"/>
    <mergeCell ref="Q3:X3"/>
    <mergeCell ref="F3:I3"/>
    <mergeCell ref="AB3:AB4"/>
    <mergeCell ref="AC3:AG3"/>
    <mergeCell ref="AH3:AH4"/>
    <mergeCell ref="AI3:AI4"/>
    <mergeCell ref="AJ3:AS3"/>
  </mergeCells>
  <pageMargins left="0.2" right="0.2" top="0.31496062992125984" bottom="0.31496062992125984" header="0.31496062992125984" footer="0.31496062992125984"/>
  <pageSetup paperSize="9" scale="61" fitToHeight="0" orientation="landscape" r:id="rId1"/>
  <rowBreaks count="1" manualBreakCount="1">
    <brk id="43" max="4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88"/>
  <sheetViews>
    <sheetView view="pageBreakPreview" topLeftCell="A60" zoomScale="64" zoomScaleNormal="80" zoomScaleSheetLayoutView="64" workbookViewId="0">
      <selection activeCell="J83" sqref="J83"/>
    </sheetView>
  </sheetViews>
  <sheetFormatPr defaultColWidth="9.140625" defaultRowHeight="15" x14ac:dyDescent="0.25"/>
  <cols>
    <col min="1" max="1" width="58.28515625" style="34" customWidth="1"/>
    <col min="2" max="2" width="9.140625" style="4"/>
    <col min="3" max="3" width="12.140625" style="35" customWidth="1"/>
    <col min="4" max="4" width="9.42578125" style="36" customWidth="1"/>
    <col min="5" max="5" width="14" style="78" customWidth="1"/>
    <col min="6" max="6" width="17.140625" style="36" customWidth="1"/>
    <col min="7" max="7" width="19.28515625" style="36" customWidth="1"/>
    <col min="8" max="8" width="15.7109375" style="36" customWidth="1"/>
    <col min="9" max="9" width="18.5703125" style="36" customWidth="1"/>
    <col min="10" max="12" width="16.5703125" style="36" customWidth="1"/>
    <col min="13" max="13" width="17.28515625" style="36" hidden="1" customWidth="1"/>
    <col min="14" max="14" width="16.85546875" style="36" hidden="1" customWidth="1"/>
    <col min="15" max="15" width="16.85546875" style="36" customWidth="1"/>
    <col min="16" max="16" width="12.28515625" style="36" customWidth="1"/>
    <col min="17" max="17" width="16.140625" style="36" hidden="1" customWidth="1"/>
    <col min="18" max="18" width="17.28515625" style="36" customWidth="1"/>
    <col min="19" max="19" width="8.85546875" style="36" customWidth="1"/>
    <col min="20" max="21" width="12.85546875" style="36" customWidth="1"/>
    <col min="22" max="22" width="14.28515625" style="36" customWidth="1"/>
    <col min="23" max="23" width="12" style="36" customWidth="1"/>
    <col min="24" max="24" width="10.5703125" style="36" customWidth="1"/>
    <col min="25" max="25" width="3.5703125" style="36" hidden="1" customWidth="1"/>
    <col min="26" max="16384" width="9.140625" style="17"/>
  </cols>
  <sheetData>
    <row r="1" spans="1:25" ht="31.9" customHeight="1" x14ac:dyDescent="0.25">
      <c r="A1" s="274" t="s">
        <v>297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  <c r="S1" s="274"/>
      <c r="T1" s="274"/>
      <c r="U1" s="274"/>
      <c r="V1" s="274"/>
      <c r="W1" s="274"/>
      <c r="X1" s="274"/>
      <c r="Y1" s="274"/>
    </row>
    <row r="2" spans="1:25" s="67" customFormat="1" ht="29.25" customHeight="1" x14ac:dyDescent="0.25">
      <c r="A2" s="275" t="s">
        <v>11</v>
      </c>
      <c r="B2" s="276" t="s">
        <v>12</v>
      </c>
      <c r="C2" s="275" t="s">
        <v>13</v>
      </c>
      <c r="D2" s="275" t="s">
        <v>14</v>
      </c>
      <c r="E2" s="264" t="s">
        <v>196</v>
      </c>
      <c r="F2" s="278" t="s">
        <v>165</v>
      </c>
      <c r="G2" s="264" t="s">
        <v>167</v>
      </c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 t="s">
        <v>168</v>
      </c>
      <c r="T2" s="264" t="s">
        <v>303</v>
      </c>
      <c r="U2" s="264"/>
      <c r="V2" s="264"/>
      <c r="W2" s="264"/>
      <c r="X2" s="264"/>
      <c r="Y2" s="264"/>
    </row>
    <row r="3" spans="1:25" s="67" customFormat="1" ht="44.25" customHeight="1" x14ac:dyDescent="0.25">
      <c r="A3" s="275"/>
      <c r="B3" s="276"/>
      <c r="C3" s="275"/>
      <c r="D3" s="275"/>
      <c r="E3" s="264"/>
      <c r="F3" s="278"/>
      <c r="G3" s="271" t="s">
        <v>258</v>
      </c>
      <c r="H3" s="271"/>
      <c r="I3" s="271"/>
      <c r="J3" s="271"/>
      <c r="K3" s="271"/>
      <c r="L3" s="271"/>
      <c r="M3" s="270" t="s">
        <v>221</v>
      </c>
      <c r="N3" s="270"/>
      <c r="O3" s="272" t="s">
        <v>283</v>
      </c>
      <c r="P3" s="271" t="s">
        <v>219</v>
      </c>
      <c r="Q3" s="199"/>
      <c r="R3" s="278" t="s">
        <v>287</v>
      </c>
      <c r="S3" s="264"/>
      <c r="T3" s="277" t="s">
        <v>206</v>
      </c>
      <c r="U3" s="271" t="s">
        <v>174</v>
      </c>
      <c r="V3" s="271" t="s">
        <v>207</v>
      </c>
      <c r="W3" s="271" t="s">
        <v>208</v>
      </c>
      <c r="X3" s="271" t="s">
        <v>209</v>
      </c>
      <c r="Y3" s="271" t="s">
        <v>220</v>
      </c>
    </row>
    <row r="4" spans="1:25" ht="302.25" customHeight="1" x14ac:dyDescent="0.25">
      <c r="A4" s="275"/>
      <c r="B4" s="276"/>
      <c r="C4" s="275"/>
      <c r="D4" s="275"/>
      <c r="E4" s="264"/>
      <c r="F4" s="278"/>
      <c r="G4" s="200" t="s">
        <v>216</v>
      </c>
      <c r="H4" s="200" t="s">
        <v>217</v>
      </c>
      <c r="I4" s="238" t="s">
        <v>218</v>
      </c>
      <c r="J4" s="201" t="s">
        <v>257</v>
      </c>
      <c r="K4" s="201" t="s">
        <v>284</v>
      </c>
      <c r="L4" s="201" t="s">
        <v>286</v>
      </c>
      <c r="M4" s="202" t="s">
        <v>256</v>
      </c>
      <c r="N4" s="202" t="s">
        <v>222</v>
      </c>
      <c r="O4" s="273"/>
      <c r="P4" s="271"/>
      <c r="Q4" s="203"/>
      <c r="R4" s="278"/>
      <c r="S4" s="264"/>
      <c r="T4" s="277"/>
      <c r="U4" s="271"/>
      <c r="V4" s="271"/>
      <c r="W4" s="271"/>
      <c r="X4" s="271"/>
      <c r="Y4" s="271"/>
    </row>
    <row r="5" spans="1:25" s="216" customFormat="1" ht="12.75" x14ac:dyDescent="0.25">
      <c r="A5" s="213">
        <v>1</v>
      </c>
      <c r="B5" s="214">
        <v>2</v>
      </c>
      <c r="C5" s="215">
        <v>3</v>
      </c>
      <c r="D5" s="215">
        <v>4</v>
      </c>
      <c r="E5" s="215">
        <v>5</v>
      </c>
      <c r="F5" s="217">
        <v>6</v>
      </c>
      <c r="G5" s="215">
        <v>7</v>
      </c>
      <c r="H5" s="215">
        <v>8</v>
      </c>
      <c r="I5" s="215">
        <v>9</v>
      </c>
      <c r="J5" s="215">
        <v>10</v>
      </c>
      <c r="K5" s="215">
        <v>11</v>
      </c>
      <c r="L5" s="215">
        <v>12</v>
      </c>
      <c r="M5" s="215"/>
      <c r="N5" s="215"/>
      <c r="O5" s="215">
        <v>13</v>
      </c>
      <c r="P5" s="215">
        <v>14</v>
      </c>
      <c r="Q5" s="218"/>
      <c r="R5" s="215">
        <v>15</v>
      </c>
      <c r="S5" s="215">
        <v>16</v>
      </c>
      <c r="T5" s="215">
        <v>17</v>
      </c>
      <c r="U5" s="215">
        <v>18</v>
      </c>
      <c r="V5" s="215">
        <v>19</v>
      </c>
      <c r="W5" s="215">
        <v>20</v>
      </c>
      <c r="X5" s="215">
        <v>21</v>
      </c>
      <c r="Y5" s="219">
        <v>18</v>
      </c>
    </row>
    <row r="6" spans="1:25" s="26" customFormat="1" x14ac:dyDescent="0.25">
      <c r="A6" s="89" t="s">
        <v>18</v>
      </c>
      <c r="B6" s="85" t="s">
        <v>19</v>
      </c>
      <c r="C6" s="57" t="s">
        <v>20</v>
      </c>
      <c r="D6" s="57" t="s">
        <v>20</v>
      </c>
      <c r="E6" s="25">
        <f>F6+G6+H6+I6+M6+N6+P6+J6+S6+T6+U6+V6+W6+X6+Y6</f>
        <v>1166036.5899999999</v>
      </c>
      <c r="F6" s="25">
        <v>943417.22</v>
      </c>
      <c r="G6" s="25"/>
      <c r="H6" s="25"/>
      <c r="I6" s="25"/>
      <c r="J6" s="25"/>
      <c r="K6" s="25"/>
      <c r="L6" s="25"/>
      <c r="M6" s="25"/>
      <c r="N6" s="25"/>
      <c r="O6" s="25"/>
      <c r="P6" s="25"/>
      <c r="Q6" s="150"/>
      <c r="R6" s="150"/>
      <c r="S6" s="25"/>
      <c r="T6" s="25"/>
      <c r="U6" s="25">
        <v>222619.37</v>
      </c>
      <c r="V6" s="25"/>
      <c r="W6" s="25"/>
      <c r="X6" s="25"/>
      <c r="Y6" s="25"/>
    </row>
    <row r="7" spans="1:25" s="80" customFormat="1" x14ac:dyDescent="0.25">
      <c r="A7" s="68" t="s">
        <v>21</v>
      </c>
      <c r="B7" s="5" t="s">
        <v>22</v>
      </c>
      <c r="C7" s="18" t="s">
        <v>20</v>
      </c>
      <c r="D7" s="18" t="s">
        <v>20</v>
      </c>
      <c r="E7" s="20">
        <f>+E6+E8-E33</f>
        <v>0</v>
      </c>
      <c r="F7" s="25">
        <f>+F6+F8-F33</f>
        <v>0</v>
      </c>
      <c r="G7" s="20">
        <f>+G6+G8-G33</f>
        <v>0</v>
      </c>
      <c r="H7" s="20">
        <f t="shared" ref="H7:Y7" si="0">+H6+H8-H33</f>
        <v>0</v>
      </c>
      <c r="I7" s="20">
        <f t="shared" si="0"/>
        <v>0</v>
      </c>
      <c r="J7" s="20">
        <f t="shared" ref="J7" si="1">+J6+J8-J33</f>
        <v>0</v>
      </c>
      <c r="K7" s="20">
        <f t="shared" ref="K7:L7" si="2">+K6+K8-K33</f>
        <v>0</v>
      </c>
      <c r="L7" s="20">
        <f t="shared" si="2"/>
        <v>0</v>
      </c>
      <c r="M7" s="20">
        <f t="shared" si="0"/>
        <v>0</v>
      </c>
      <c r="N7" s="20">
        <f>+N6+N8-N33</f>
        <v>0</v>
      </c>
      <c r="O7" s="20">
        <f>+O6+O8-O33</f>
        <v>0</v>
      </c>
      <c r="P7" s="20">
        <f t="shared" si="0"/>
        <v>0</v>
      </c>
      <c r="Q7" s="20">
        <f t="shared" si="0"/>
        <v>0</v>
      </c>
      <c r="R7" s="20">
        <f t="shared" si="0"/>
        <v>0</v>
      </c>
      <c r="S7" s="20">
        <f t="shared" si="0"/>
        <v>0</v>
      </c>
      <c r="T7" s="20">
        <f t="shared" si="0"/>
        <v>0</v>
      </c>
      <c r="U7" s="20">
        <f t="shared" si="0"/>
        <v>0</v>
      </c>
      <c r="V7" s="20">
        <f t="shared" si="0"/>
        <v>0</v>
      </c>
      <c r="W7" s="20">
        <f t="shared" si="0"/>
        <v>0</v>
      </c>
      <c r="X7" s="20">
        <f t="shared" si="0"/>
        <v>0</v>
      </c>
      <c r="Y7" s="20">
        <f t="shared" si="0"/>
        <v>0</v>
      </c>
    </row>
    <row r="8" spans="1:25" s="110" customFormat="1" ht="24.75" customHeight="1" x14ac:dyDescent="0.25">
      <c r="A8" s="96" t="s">
        <v>23</v>
      </c>
      <c r="B8" s="97" t="s">
        <v>29</v>
      </c>
      <c r="C8" s="98"/>
      <c r="D8" s="108"/>
      <c r="E8" s="109">
        <f>+E9+E11+E15+E18+E20+E27</f>
        <v>61969472.240000002</v>
      </c>
      <c r="F8" s="109">
        <f>+F9+F11+F15+F18+F20+F27</f>
        <v>52336951</v>
      </c>
      <c r="G8" s="109">
        <f t="shared" ref="G8:Y8" si="3">+G9+G11+G15+G18+G20+G27</f>
        <v>998587.66</v>
      </c>
      <c r="H8" s="109">
        <f t="shared" si="3"/>
        <v>0</v>
      </c>
      <c r="I8" s="109">
        <f t="shared" si="3"/>
        <v>1175300</v>
      </c>
      <c r="J8" s="109">
        <f t="shared" ref="J8" si="4">+J9+J11+J15+J18+J20+J27</f>
        <v>3269700</v>
      </c>
      <c r="K8" s="109">
        <f t="shared" ref="K8:L8" si="5">+K9+K11+K15+K18+K20+K27</f>
        <v>323400</v>
      </c>
      <c r="L8" s="109">
        <f t="shared" si="5"/>
        <v>1195404</v>
      </c>
      <c r="M8" s="109">
        <f t="shared" si="3"/>
        <v>0</v>
      </c>
      <c r="N8" s="109">
        <f t="shared" si="3"/>
        <v>0</v>
      </c>
      <c r="O8" s="109">
        <f>+O9+O11+O15+O18+O20+O27</f>
        <v>26100</v>
      </c>
      <c r="P8" s="109">
        <f t="shared" si="3"/>
        <v>25053.08</v>
      </c>
      <c r="Q8" s="109">
        <f t="shared" si="3"/>
        <v>0</v>
      </c>
      <c r="R8" s="109">
        <f t="shared" si="3"/>
        <v>594236.5</v>
      </c>
      <c r="S8" s="109">
        <f t="shared" si="3"/>
        <v>0</v>
      </c>
      <c r="T8" s="109">
        <f>+T9+T11+T15+T18+T20+T27</f>
        <v>0</v>
      </c>
      <c r="U8" s="109">
        <f t="shared" si="3"/>
        <v>1304740</v>
      </c>
      <c r="V8" s="109">
        <f>+V9+V11+V15+V18+V20+V27</f>
        <v>400000</v>
      </c>
      <c r="W8" s="109">
        <f t="shared" si="3"/>
        <v>320000</v>
      </c>
      <c r="X8" s="109">
        <f>X9+X11+X15+X20+X25+X27</f>
        <v>0</v>
      </c>
      <c r="Y8" s="109">
        <f t="shared" si="3"/>
        <v>0</v>
      </c>
    </row>
    <row r="9" spans="1:25" s="26" customFormat="1" ht="30" x14ac:dyDescent="0.25">
      <c r="A9" s="91" t="s">
        <v>254</v>
      </c>
      <c r="B9" s="87" t="s">
        <v>31</v>
      </c>
      <c r="C9" s="23">
        <v>120</v>
      </c>
      <c r="D9" s="27"/>
      <c r="E9" s="24">
        <f>V9+W9</f>
        <v>720000</v>
      </c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150"/>
      <c r="R9" s="150"/>
      <c r="S9" s="24"/>
      <c r="T9" s="24"/>
      <c r="U9" s="24"/>
      <c r="V9" s="24">
        <f>V33</f>
        <v>400000</v>
      </c>
      <c r="W9" s="24">
        <f>W33</f>
        <v>320000</v>
      </c>
      <c r="X9" s="24"/>
      <c r="Y9" s="24"/>
    </row>
    <row r="10" spans="1:25" s="26" customFormat="1" x14ac:dyDescent="0.25">
      <c r="A10" s="66" t="s">
        <v>24</v>
      </c>
      <c r="B10" s="3" t="s">
        <v>32</v>
      </c>
      <c r="C10" s="19"/>
      <c r="D10" s="21"/>
      <c r="E10" s="22"/>
      <c r="F10" s="24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150"/>
      <c r="R10" s="150"/>
      <c r="S10" s="22"/>
      <c r="T10" s="22"/>
      <c r="U10" s="22"/>
      <c r="V10" s="22"/>
      <c r="W10" s="22"/>
      <c r="X10" s="22"/>
      <c r="Y10" s="22"/>
    </row>
    <row r="11" spans="1:25" s="44" customFormat="1" ht="35.25" customHeight="1" x14ac:dyDescent="0.25">
      <c r="A11" s="93" t="s">
        <v>25</v>
      </c>
      <c r="B11" s="86" t="s">
        <v>33</v>
      </c>
      <c r="C11" s="37">
        <v>130</v>
      </c>
      <c r="D11" s="38"/>
      <c r="E11" s="39">
        <f>+E12+E13+E14</f>
        <v>53641691</v>
      </c>
      <c r="F11" s="39">
        <f t="shared" ref="F11:Y11" si="6">+F12+F13+F14</f>
        <v>52336951</v>
      </c>
      <c r="G11" s="39">
        <f t="shared" si="6"/>
        <v>0</v>
      </c>
      <c r="H11" s="39">
        <f t="shared" si="6"/>
        <v>0</v>
      </c>
      <c r="I11" s="39">
        <f t="shared" si="6"/>
        <v>0</v>
      </c>
      <c r="J11" s="39">
        <f t="shared" ref="J11" si="7">+J12+J13+J14</f>
        <v>0</v>
      </c>
      <c r="K11" s="39">
        <f t="shared" ref="K11:L11" si="8">+K12+K13+K14</f>
        <v>0</v>
      </c>
      <c r="L11" s="39">
        <f t="shared" si="8"/>
        <v>0</v>
      </c>
      <c r="M11" s="39">
        <f t="shared" si="6"/>
        <v>0</v>
      </c>
      <c r="N11" s="39">
        <f t="shared" si="6"/>
        <v>0</v>
      </c>
      <c r="O11" s="39">
        <f>+O12+O13+O14</f>
        <v>0</v>
      </c>
      <c r="P11" s="39">
        <f t="shared" si="6"/>
        <v>0</v>
      </c>
      <c r="Q11" s="39">
        <f t="shared" si="6"/>
        <v>0</v>
      </c>
      <c r="R11" s="39">
        <f t="shared" si="6"/>
        <v>0</v>
      </c>
      <c r="S11" s="39">
        <f t="shared" si="6"/>
        <v>0</v>
      </c>
      <c r="T11" s="39">
        <f t="shared" si="6"/>
        <v>0</v>
      </c>
      <c r="U11" s="39">
        <f t="shared" si="6"/>
        <v>1304740</v>
      </c>
      <c r="V11" s="39">
        <f t="shared" si="6"/>
        <v>0</v>
      </c>
      <c r="W11" s="39">
        <f t="shared" si="6"/>
        <v>0</v>
      </c>
      <c r="X11" s="39">
        <f t="shared" si="6"/>
        <v>0</v>
      </c>
      <c r="Y11" s="39">
        <f t="shared" si="6"/>
        <v>0</v>
      </c>
    </row>
    <row r="12" spans="1:25" s="26" customFormat="1" ht="75" x14ac:dyDescent="0.25">
      <c r="A12" s="94" t="s">
        <v>34</v>
      </c>
      <c r="B12" s="87" t="s">
        <v>35</v>
      </c>
      <c r="C12" s="23">
        <v>130</v>
      </c>
      <c r="D12" s="27"/>
      <c r="E12" s="24">
        <f>F12</f>
        <v>52336951</v>
      </c>
      <c r="F12" s="24">
        <f>F33-F6</f>
        <v>52336951</v>
      </c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150"/>
      <c r="R12" s="150"/>
      <c r="S12" s="24"/>
      <c r="T12" s="24"/>
      <c r="U12" s="24"/>
      <c r="V12" s="24"/>
      <c r="W12" s="24"/>
      <c r="X12" s="24"/>
      <c r="Y12" s="24"/>
    </row>
    <row r="13" spans="1:25" s="80" customFormat="1" ht="29.25" customHeight="1" x14ac:dyDescent="0.25">
      <c r="A13" s="142" t="s">
        <v>26</v>
      </c>
      <c r="B13" s="103" t="s">
        <v>36</v>
      </c>
      <c r="C13" s="104">
        <v>130</v>
      </c>
      <c r="D13" s="106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52"/>
      <c r="R13" s="152"/>
      <c r="S13" s="107"/>
      <c r="T13" s="107"/>
      <c r="U13" s="107"/>
      <c r="V13" s="107"/>
      <c r="W13" s="107"/>
      <c r="X13" s="107"/>
      <c r="Y13" s="107"/>
    </row>
    <row r="14" spans="1:25" s="26" customFormat="1" ht="15" customHeight="1" x14ac:dyDescent="0.25">
      <c r="A14" s="94" t="s">
        <v>210</v>
      </c>
      <c r="B14" s="87" t="s">
        <v>205</v>
      </c>
      <c r="C14" s="23">
        <v>130</v>
      </c>
      <c r="D14" s="27"/>
      <c r="E14" s="24">
        <f>T14+U14</f>
        <v>1304740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150"/>
      <c r="R14" s="150"/>
      <c r="S14" s="24"/>
      <c r="T14" s="24">
        <f>T33-T6</f>
        <v>0</v>
      </c>
      <c r="U14" s="24">
        <f>U33-U6</f>
        <v>1304740</v>
      </c>
      <c r="V14" s="24"/>
      <c r="W14" s="24"/>
      <c r="X14" s="24"/>
      <c r="Y14" s="24"/>
    </row>
    <row r="15" spans="1:25" ht="29.25" customHeight="1" x14ac:dyDescent="0.25">
      <c r="A15" s="68" t="s">
        <v>27</v>
      </c>
      <c r="B15" s="5" t="s">
        <v>37</v>
      </c>
      <c r="C15" s="18">
        <v>140</v>
      </c>
      <c r="D15" s="28"/>
      <c r="E15" s="20">
        <f>+E16+E17</f>
        <v>0</v>
      </c>
      <c r="F15" s="25">
        <f>+F16+F17</f>
        <v>0</v>
      </c>
      <c r="G15" s="20">
        <f t="shared" ref="G15:Y15" si="9">+G16+G17</f>
        <v>0</v>
      </c>
      <c r="H15" s="20">
        <f t="shared" si="9"/>
        <v>0</v>
      </c>
      <c r="I15" s="20">
        <f t="shared" si="9"/>
        <v>0</v>
      </c>
      <c r="J15" s="20">
        <f t="shared" ref="J15" si="10">+J16+J17</f>
        <v>0</v>
      </c>
      <c r="K15" s="20">
        <f t="shared" ref="K15:L15" si="11">+K16+K17</f>
        <v>0</v>
      </c>
      <c r="L15" s="20">
        <f t="shared" si="11"/>
        <v>0</v>
      </c>
      <c r="M15" s="20">
        <f t="shared" si="9"/>
        <v>0</v>
      </c>
      <c r="N15" s="20">
        <f t="shared" si="9"/>
        <v>0</v>
      </c>
      <c r="O15" s="20">
        <f>+O16+O17</f>
        <v>0</v>
      </c>
      <c r="P15" s="20">
        <f t="shared" si="9"/>
        <v>0</v>
      </c>
      <c r="Q15" s="20">
        <f t="shared" si="9"/>
        <v>0</v>
      </c>
      <c r="R15" s="20">
        <f t="shared" si="9"/>
        <v>0</v>
      </c>
      <c r="S15" s="20">
        <f t="shared" si="9"/>
        <v>0</v>
      </c>
      <c r="T15" s="20">
        <f t="shared" si="9"/>
        <v>0</v>
      </c>
      <c r="U15" s="20">
        <f t="shared" si="9"/>
        <v>0</v>
      </c>
      <c r="V15" s="20">
        <f t="shared" si="9"/>
        <v>0</v>
      </c>
      <c r="W15" s="20">
        <f t="shared" si="9"/>
        <v>0</v>
      </c>
      <c r="X15" s="20">
        <f t="shared" si="9"/>
        <v>0</v>
      </c>
      <c r="Y15" s="20">
        <f t="shared" si="9"/>
        <v>0</v>
      </c>
    </row>
    <row r="16" spans="1:25" x14ac:dyDescent="0.25">
      <c r="A16" s="71" t="s">
        <v>24</v>
      </c>
      <c r="B16" s="3" t="s">
        <v>38</v>
      </c>
      <c r="C16" s="19">
        <v>140</v>
      </c>
      <c r="D16" s="21"/>
      <c r="E16" s="22"/>
      <c r="F16" s="24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1"/>
      <c r="R16" s="21"/>
      <c r="S16" s="22"/>
      <c r="T16" s="22"/>
      <c r="U16" s="22"/>
      <c r="V16" s="22"/>
      <c r="W16" s="22"/>
      <c r="X16" s="22"/>
      <c r="Y16" s="22"/>
    </row>
    <row r="17" spans="1:25" ht="15" hidden="1" customHeight="1" x14ac:dyDescent="0.25">
      <c r="A17" s="66"/>
      <c r="B17" s="3"/>
      <c r="C17" s="19"/>
      <c r="D17" s="21"/>
      <c r="E17" s="22"/>
      <c r="F17" s="24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1"/>
      <c r="R17" s="21"/>
      <c r="S17" s="22"/>
      <c r="T17" s="22"/>
      <c r="U17" s="22"/>
      <c r="V17" s="22"/>
      <c r="W17" s="22"/>
      <c r="X17" s="22"/>
      <c r="Y17" s="22"/>
    </row>
    <row r="18" spans="1:25" ht="15" hidden="1" customHeight="1" x14ac:dyDescent="0.25">
      <c r="A18" s="199"/>
      <c r="B18" s="203"/>
      <c r="C18" s="203"/>
      <c r="D18" s="58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1"/>
      <c r="R18" s="21"/>
      <c r="S18" s="25"/>
      <c r="T18" s="25"/>
      <c r="U18" s="25"/>
      <c r="V18" s="25"/>
      <c r="W18" s="25"/>
      <c r="X18" s="25"/>
      <c r="Y18" s="25"/>
    </row>
    <row r="19" spans="1:25" ht="15" hidden="1" customHeight="1" x14ac:dyDescent="0.25">
      <c r="A19" s="66"/>
      <c r="B19" s="3"/>
      <c r="C19" s="19"/>
      <c r="D19" s="21"/>
      <c r="E19" s="22"/>
      <c r="F19" s="24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1"/>
      <c r="R19" s="21"/>
      <c r="S19" s="22"/>
      <c r="T19" s="22"/>
      <c r="U19" s="22"/>
      <c r="V19" s="22"/>
      <c r="W19" s="22"/>
      <c r="X19" s="22"/>
      <c r="Y19" s="22"/>
    </row>
    <row r="20" spans="1:25" s="44" customFormat="1" x14ac:dyDescent="0.25">
      <c r="A20" s="90" t="s">
        <v>28</v>
      </c>
      <c r="B20" s="86" t="s">
        <v>39</v>
      </c>
      <c r="C20" s="37">
        <v>150</v>
      </c>
      <c r="D20" s="38"/>
      <c r="E20" s="39">
        <f>E21+E23+E24</f>
        <v>7607781.2400000002</v>
      </c>
      <c r="F20" s="39">
        <f t="shared" ref="F20:Y20" si="12">F21+F23+F24</f>
        <v>0</v>
      </c>
      <c r="G20" s="39">
        <f t="shared" si="12"/>
        <v>998587.66</v>
      </c>
      <c r="H20" s="39">
        <f t="shared" si="12"/>
        <v>0</v>
      </c>
      <c r="I20" s="39">
        <f t="shared" si="12"/>
        <v>1175300</v>
      </c>
      <c r="J20" s="39">
        <f>J21+J23+J24</f>
        <v>3269700</v>
      </c>
      <c r="K20" s="39">
        <f>K21+K23+K24</f>
        <v>323400</v>
      </c>
      <c r="L20" s="39">
        <f>L21+L23+L24</f>
        <v>1195404</v>
      </c>
      <c r="M20" s="39">
        <f t="shared" si="12"/>
        <v>0</v>
      </c>
      <c r="N20" s="39">
        <f t="shared" si="12"/>
        <v>0</v>
      </c>
      <c r="O20" s="39">
        <f>O21+O23+O24</f>
        <v>26100</v>
      </c>
      <c r="P20" s="39">
        <f t="shared" si="12"/>
        <v>25053.08</v>
      </c>
      <c r="Q20" s="39">
        <f t="shared" si="12"/>
        <v>0</v>
      </c>
      <c r="R20" s="39">
        <f t="shared" si="12"/>
        <v>594236.5</v>
      </c>
      <c r="S20" s="39">
        <f t="shared" si="12"/>
        <v>0</v>
      </c>
      <c r="T20" s="39">
        <f t="shared" si="12"/>
        <v>0</v>
      </c>
      <c r="U20" s="39">
        <f t="shared" si="12"/>
        <v>0</v>
      </c>
      <c r="V20" s="39">
        <f t="shared" si="12"/>
        <v>0</v>
      </c>
      <c r="W20" s="39">
        <f t="shared" si="12"/>
        <v>0</v>
      </c>
      <c r="X20" s="39">
        <f t="shared" si="12"/>
        <v>0</v>
      </c>
      <c r="Y20" s="39">
        <f t="shared" si="12"/>
        <v>0</v>
      </c>
    </row>
    <row r="21" spans="1:25" s="26" customFormat="1" ht="30" x14ac:dyDescent="0.25">
      <c r="A21" s="94" t="s">
        <v>48</v>
      </c>
      <c r="B21" s="87" t="s">
        <v>227</v>
      </c>
      <c r="C21" s="23">
        <v>150</v>
      </c>
      <c r="D21" s="27"/>
      <c r="E21" s="24">
        <f>F21+G21+H21+I21+J21+O21+K21+L21+P21+R21</f>
        <v>7607781.2400000002</v>
      </c>
      <c r="F21" s="24">
        <f>+F22+F23+F24</f>
        <v>0</v>
      </c>
      <c r="G21" s="24">
        <f>G33</f>
        <v>998587.66</v>
      </c>
      <c r="H21" s="24">
        <f t="shared" ref="H21:R21" si="13">H33</f>
        <v>0</v>
      </c>
      <c r="I21" s="24">
        <f t="shared" si="13"/>
        <v>1175300</v>
      </c>
      <c r="J21" s="24">
        <f t="shared" ref="J21" si="14">J33</f>
        <v>3269700</v>
      </c>
      <c r="K21" s="24">
        <f t="shared" ref="K21:L21" si="15">K33</f>
        <v>323400</v>
      </c>
      <c r="L21" s="24">
        <f t="shared" si="15"/>
        <v>1195404</v>
      </c>
      <c r="M21" s="24">
        <f t="shared" si="13"/>
        <v>0</v>
      </c>
      <c r="N21" s="24">
        <f t="shared" si="13"/>
        <v>0</v>
      </c>
      <c r="O21" s="24">
        <f>O33</f>
        <v>26100</v>
      </c>
      <c r="P21" s="24">
        <f t="shared" si="13"/>
        <v>25053.08</v>
      </c>
      <c r="Q21" s="24">
        <f t="shared" si="13"/>
        <v>0</v>
      </c>
      <c r="R21" s="24">
        <f t="shared" si="13"/>
        <v>594236.5</v>
      </c>
      <c r="S21" s="24"/>
      <c r="T21" s="24"/>
      <c r="U21" s="24"/>
      <c r="V21" s="24"/>
      <c r="W21" s="24"/>
      <c r="X21" s="24"/>
      <c r="Y21" s="24"/>
    </row>
    <row r="22" spans="1:25" hidden="1" x14ac:dyDescent="0.25">
      <c r="A22" s="71"/>
      <c r="B22" s="3"/>
      <c r="C22" s="19"/>
      <c r="D22" s="21"/>
      <c r="E22" s="22"/>
      <c r="F22" s="24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03"/>
      <c r="R22" s="203"/>
      <c r="S22" s="22"/>
      <c r="T22" s="22"/>
      <c r="U22" s="22"/>
      <c r="V22" s="22"/>
      <c r="W22" s="22"/>
      <c r="X22" s="22"/>
      <c r="Y22" s="22"/>
    </row>
    <row r="23" spans="1:25" x14ac:dyDescent="0.25">
      <c r="A23" s="71" t="s">
        <v>42</v>
      </c>
      <c r="B23" s="3" t="s">
        <v>228</v>
      </c>
      <c r="C23" s="19">
        <v>150</v>
      </c>
      <c r="D23" s="21"/>
      <c r="E23" s="22"/>
      <c r="F23" s="24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03"/>
      <c r="R23" s="203"/>
      <c r="S23" s="22"/>
      <c r="T23" s="22"/>
      <c r="U23" s="22"/>
      <c r="V23" s="22"/>
      <c r="W23" s="22"/>
      <c r="X23" s="22"/>
      <c r="Y23" s="22"/>
    </row>
    <row r="24" spans="1:25" s="26" customFormat="1" ht="30" x14ac:dyDescent="0.25">
      <c r="A24" s="94" t="s">
        <v>229</v>
      </c>
      <c r="B24" s="87" t="s">
        <v>230</v>
      </c>
      <c r="C24" s="23">
        <v>150</v>
      </c>
      <c r="D24" s="27"/>
      <c r="E24" s="24">
        <f>X24+Y24</f>
        <v>0</v>
      </c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150"/>
      <c r="R24" s="150"/>
      <c r="S24" s="24"/>
      <c r="T24" s="24"/>
      <c r="U24" s="24"/>
      <c r="V24" s="24"/>
      <c r="W24" s="24"/>
      <c r="X24" s="24">
        <f>X33</f>
        <v>0</v>
      </c>
      <c r="Y24" s="24">
        <f>Y33</f>
        <v>0</v>
      </c>
    </row>
    <row r="25" spans="1:25" x14ac:dyDescent="0.25">
      <c r="A25" s="68" t="s">
        <v>40</v>
      </c>
      <c r="B25" s="5" t="s">
        <v>41</v>
      </c>
      <c r="C25" s="18">
        <v>180</v>
      </c>
      <c r="D25" s="27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03"/>
      <c r="R25" s="203"/>
      <c r="S25" s="24"/>
      <c r="T25" s="24"/>
      <c r="U25" s="24"/>
      <c r="V25" s="24"/>
      <c r="W25" s="24"/>
      <c r="X25" s="24"/>
      <c r="Y25" s="24"/>
    </row>
    <row r="26" spans="1:25" ht="15" hidden="1" customHeight="1" x14ac:dyDescent="0.25">
      <c r="A26" s="71"/>
      <c r="B26" s="3"/>
      <c r="C26" s="19"/>
      <c r="D26" s="24"/>
      <c r="E26" s="25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1"/>
      <c r="R26" s="21"/>
      <c r="S26" s="24"/>
      <c r="T26" s="24"/>
      <c r="U26" s="24"/>
      <c r="V26" s="24"/>
      <c r="W26" s="24"/>
      <c r="X26" s="24"/>
      <c r="Y26" s="24"/>
    </row>
    <row r="27" spans="1:25" ht="28.5" x14ac:dyDescent="0.25">
      <c r="A27" s="68" t="s">
        <v>43</v>
      </c>
      <c r="B27" s="5" t="s">
        <v>44</v>
      </c>
      <c r="C27" s="18"/>
      <c r="D27" s="28"/>
      <c r="E27" s="20"/>
      <c r="F27" s="25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1"/>
      <c r="R27" s="21"/>
      <c r="S27" s="20"/>
      <c r="T27" s="20"/>
      <c r="U27" s="20"/>
      <c r="V27" s="20"/>
      <c r="W27" s="20"/>
      <c r="X27" s="20"/>
      <c r="Y27" s="20"/>
    </row>
    <row r="28" spans="1:25" x14ac:dyDescent="0.25">
      <c r="A28" s="66" t="s">
        <v>24</v>
      </c>
      <c r="B28" s="3"/>
      <c r="C28" s="19"/>
      <c r="D28" s="21"/>
      <c r="E28" s="22"/>
      <c r="F28" s="24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1"/>
      <c r="R28" s="21"/>
      <c r="S28" s="22"/>
      <c r="T28" s="22"/>
      <c r="U28" s="22"/>
      <c r="V28" s="22"/>
      <c r="W28" s="22"/>
      <c r="X28" s="22"/>
      <c r="Y28" s="22"/>
    </row>
    <row r="29" spans="1:25" ht="15" hidden="1" customHeight="1" x14ac:dyDescent="0.25">
      <c r="A29" s="66"/>
      <c r="B29" s="3"/>
      <c r="C29" s="19"/>
      <c r="D29" s="21"/>
      <c r="E29" s="22"/>
      <c r="F29" s="24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1"/>
      <c r="R29" s="21"/>
      <c r="S29" s="22"/>
      <c r="T29" s="22"/>
      <c r="U29" s="22"/>
      <c r="V29" s="22"/>
      <c r="W29" s="22"/>
      <c r="X29" s="22"/>
      <c r="Y29" s="22"/>
    </row>
    <row r="30" spans="1:25" x14ac:dyDescent="0.25">
      <c r="A30" s="66" t="s">
        <v>45</v>
      </c>
      <c r="B30" s="3" t="s">
        <v>46</v>
      </c>
      <c r="C30" s="19" t="s">
        <v>20</v>
      </c>
      <c r="D30" s="21"/>
      <c r="E30" s="22"/>
      <c r="F30" s="24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1"/>
      <c r="R30" s="21"/>
      <c r="S30" s="22"/>
      <c r="T30" s="22"/>
      <c r="U30" s="22"/>
      <c r="V30" s="22"/>
      <c r="W30" s="22"/>
      <c r="X30" s="22"/>
      <c r="Y30" s="22"/>
    </row>
    <row r="31" spans="1:25" ht="30" x14ac:dyDescent="0.25">
      <c r="A31" s="92" t="s">
        <v>278</v>
      </c>
      <c r="B31" s="3" t="s">
        <v>47</v>
      </c>
      <c r="C31" s="19">
        <v>510</v>
      </c>
      <c r="D31" s="21"/>
      <c r="E31" s="22"/>
      <c r="F31" s="24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1"/>
      <c r="R31" s="21"/>
      <c r="S31" s="22"/>
      <c r="T31" s="22"/>
      <c r="U31" s="22"/>
      <c r="V31" s="22"/>
      <c r="W31" s="22"/>
      <c r="X31" s="22"/>
      <c r="Y31" s="22"/>
    </row>
    <row r="32" spans="1:25" ht="15" hidden="1" customHeight="1" x14ac:dyDescent="0.25">
      <c r="A32" s="66"/>
      <c r="B32" s="3"/>
      <c r="C32" s="19"/>
      <c r="D32" s="21"/>
      <c r="E32" s="22"/>
      <c r="F32" s="24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1"/>
      <c r="R32" s="21"/>
      <c r="S32" s="22"/>
      <c r="T32" s="22"/>
      <c r="U32" s="22"/>
      <c r="V32" s="22"/>
      <c r="W32" s="22"/>
      <c r="X32" s="22"/>
      <c r="Y32" s="22"/>
    </row>
    <row r="33" spans="1:25" s="110" customFormat="1" ht="22.5" customHeight="1" x14ac:dyDescent="0.25">
      <c r="A33" s="96" t="s">
        <v>49</v>
      </c>
      <c r="B33" s="97" t="s">
        <v>52</v>
      </c>
      <c r="C33" s="98" t="s">
        <v>20</v>
      </c>
      <c r="D33" s="108"/>
      <c r="E33" s="109">
        <f>+E34+E46+E53+E57+E64+E66+E83+E87</f>
        <v>63135508.829999998</v>
      </c>
      <c r="F33" s="109">
        <f>+F34+F46+F53+F57+F64+F66+F83+F87</f>
        <v>53280368.219999999</v>
      </c>
      <c r="G33" s="109">
        <f t="shared" ref="G33:Y33" si="16">+G34+G46+G53+G57+G64+G66+G83+G87</f>
        <v>998587.66</v>
      </c>
      <c r="H33" s="109">
        <f t="shared" si="16"/>
        <v>0</v>
      </c>
      <c r="I33" s="109">
        <f t="shared" si="16"/>
        <v>1175300</v>
      </c>
      <c r="J33" s="109">
        <f t="shared" ref="J33" si="17">+J34+J46+J53+J57+J64+J66+J83+J87</f>
        <v>3269700</v>
      </c>
      <c r="K33" s="109">
        <f t="shared" ref="K33:L33" si="18">+K34+K46+K53+K57+K64+K66+K83+K87</f>
        <v>323400</v>
      </c>
      <c r="L33" s="109">
        <f t="shared" si="18"/>
        <v>1195404</v>
      </c>
      <c r="M33" s="109">
        <f t="shared" si="16"/>
        <v>0</v>
      </c>
      <c r="N33" s="109">
        <f t="shared" si="16"/>
        <v>0</v>
      </c>
      <c r="O33" s="109">
        <f>+O34+O46+O53+O57+O64+O66+O83+O87</f>
        <v>26100</v>
      </c>
      <c r="P33" s="109">
        <f t="shared" si="16"/>
        <v>25053.08</v>
      </c>
      <c r="Q33" s="109">
        <f t="shared" si="16"/>
        <v>0</v>
      </c>
      <c r="R33" s="109">
        <f t="shared" si="16"/>
        <v>594236.5</v>
      </c>
      <c r="S33" s="109">
        <f t="shared" si="16"/>
        <v>0</v>
      </c>
      <c r="T33" s="109">
        <f t="shared" si="16"/>
        <v>0</v>
      </c>
      <c r="U33" s="109">
        <f t="shared" si="16"/>
        <v>1527359.37</v>
      </c>
      <c r="V33" s="109">
        <f t="shared" si="16"/>
        <v>400000</v>
      </c>
      <c r="W33" s="109">
        <f t="shared" si="16"/>
        <v>320000</v>
      </c>
      <c r="X33" s="109">
        <f t="shared" si="16"/>
        <v>0</v>
      </c>
      <c r="Y33" s="109">
        <f t="shared" si="16"/>
        <v>0</v>
      </c>
    </row>
    <row r="34" spans="1:25" s="44" customFormat="1" ht="28.5" x14ac:dyDescent="0.25">
      <c r="A34" s="90" t="s">
        <v>50</v>
      </c>
      <c r="B34" s="86" t="s">
        <v>53</v>
      </c>
      <c r="C34" s="37" t="s">
        <v>20</v>
      </c>
      <c r="D34" s="38"/>
      <c r="E34" s="39">
        <f>+E35+E36+E38+E41+E42+E43</f>
        <v>46422859.450000003</v>
      </c>
      <c r="F34" s="39">
        <f>+F35+F36+F38+F41+F42+F43</f>
        <v>44840763</v>
      </c>
      <c r="G34" s="39">
        <f t="shared" ref="G34:Y34" si="19">+G35+G38+G41+G42+G43</f>
        <v>0</v>
      </c>
      <c r="H34" s="39">
        <f t="shared" si="19"/>
        <v>0</v>
      </c>
      <c r="I34" s="39">
        <f t="shared" si="19"/>
        <v>0</v>
      </c>
      <c r="J34" s="39">
        <f t="shared" ref="J34" si="20">+J35+J38+J41+J42+J43</f>
        <v>0</v>
      </c>
      <c r="K34" s="39">
        <f t="shared" ref="K34:L34" si="21">+K35+K38+K41+K42+K43</f>
        <v>0</v>
      </c>
      <c r="L34" s="39">
        <f t="shared" si="21"/>
        <v>0</v>
      </c>
      <c r="M34" s="39">
        <f t="shared" si="19"/>
        <v>0</v>
      </c>
      <c r="N34" s="39">
        <f t="shared" si="19"/>
        <v>0</v>
      </c>
      <c r="O34" s="39">
        <f>+O35+O38+O41+O42+O43</f>
        <v>0</v>
      </c>
      <c r="P34" s="39">
        <f t="shared" si="19"/>
        <v>25053.08</v>
      </c>
      <c r="Q34" s="39">
        <f t="shared" si="19"/>
        <v>0</v>
      </c>
      <c r="R34" s="39">
        <f t="shared" si="19"/>
        <v>594236.5</v>
      </c>
      <c r="S34" s="39">
        <f t="shared" si="19"/>
        <v>0</v>
      </c>
      <c r="T34" s="39">
        <f t="shared" si="19"/>
        <v>0</v>
      </c>
      <c r="U34" s="39">
        <f t="shared" ref="U34:W34" si="22">+U35+U36+U38+U41+U42+U43</f>
        <v>962806.87</v>
      </c>
      <c r="V34" s="39">
        <f t="shared" si="22"/>
        <v>0</v>
      </c>
      <c r="W34" s="39">
        <f t="shared" si="22"/>
        <v>0</v>
      </c>
      <c r="X34" s="39">
        <f t="shared" si="19"/>
        <v>0</v>
      </c>
      <c r="Y34" s="39">
        <f t="shared" si="19"/>
        <v>0</v>
      </c>
    </row>
    <row r="35" spans="1:25" s="26" customFormat="1" ht="30" x14ac:dyDescent="0.25">
      <c r="A35" s="94" t="s">
        <v>51</v>
      </c>
      <c r="B35" s="87" t="s">
        <v>54</v>
      </c>
      <c r="C35" s="23">
        <v>111</v>
      </c>
      <c r="D35" s="27"/>
      <c r="E35" s="24">
        <f>F35+G35+H35+I35+L35+M35+N35+P35+S35+T35+U35+V35+W35+X35+Y35+R35</f>
        <v>35675914</v>
      </c>
      <c r="F35" s="24">
        <f>30234619+90000+1737246+2398921</f>
        <v>34460786</v>
      </c>
      <c r="G35" s="24"/>
      <c r="H35" s="24"/>
      <c r="I35" s="24"/>
      <c r="J35" s="24"/>
      <c r="K35" s="24"/>
      <c r="L35" s="24">
        <f>106774.2-106774.2</f>
        <v>0</v>
      </c>
      <c r="M35" s="24"/>
      <c r="N35" s="24"/>
      <c r="O35" s="24"/>
      <c r="P35" s="24">
        <v>19242</v>
      </c>
      <c r="Q35" s="24"/>
      <c r="R35" s="24">
        <f>9130+447273</f>
        <v>456403</v>
      </c>
      <c r="S35" s="24"/>
      <c r="T35" s="24"/>
      <c r="U35" s="24">
        <f>669483+70000</f>
        <v>739483</v>
      </c>
      <c r="V35" s="24"/>
      <c r="W35" s="24"/>
      <c r="X35" s="24"/>
      <c r="Y35" s="24"/>
    </row>
    <row r="36" spans="1:25" s="26" customFormat="1" ht="30" x14ac:dyDescent="0.25">
      <c r="A36" s="94" t="s">
        <v>55</v>
      </c>
      <c r="B36" s="87" t="s">
        <v>56</v>
      </c>
      <c r="C36" s="23">
        <v>112</v>
      </c>
      <c r="D36" s="27"/>
      <c r="E36" s="24">
        <f>F36+G36+H36+I36+M36+N36+P36+S36+T36+U36+V36+W36+X36+Y36</f>
        <v>0</v>
      </c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150"/>
      <c r="R36" s="24"/>
      <c r="S36" s="24"/>
      <c r="T36" s="24"/>
      <c r="U36" s="24"/>
      <c r="V36" s="24"/>
      <c r="W36" s="24"/>
      <c r="X36" s="24"/>
      <c r="Y36" s="24"/>
    </row>
    <row r="37" spans="1:25" s="26" customFormat="1" ht="36" customHeight="1" x14ac:dyDescent="0.25">
      <c r="A37" s="71" t="s">
        <v>58</v>
      </c>
      <c r="B37" s="3" t="s">
        <v>57</v>
      </c>
      <c r="C37" s="19">
        <v>113</v>
      </c>
      <c r="D37" s="21"/>
      <c r="E37" s="22">
        <f>F37+G37+H37+I37+M37+N37+P37+S37+T37+U37+V37+W37+X37+Y37</f>
        <v>0</v>
      </c>
      <c r="F37" s="24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150"/>
      <c r="R37" s="24"/>
      <c r="S37" s="22"/>
      <c r="T37" s="22"/>
      <c r="U37" s="22"/>
      <c r="V37" s="22"/>
      <c r="W37" s="22"/>
      <c r="X37" s="22"/>
      <c r="Y37" s="22"/>
    </row>
    <row r="38" spans="1:25" s="44" customFormat="1" ht="45" x14ac:dyDescent="0.25">
      <c r="A38" s="101" t="s">
        <v>59</v>
      </c>
      <c r="B38" s="102" t="s">
        <v>60</v>
      </c>
      <c r="C38" s="48">
        <v>119</v>
      </c>
      <c r="D38" s="61"/>
      <c r="E38" s="59">
        <f>+E39+E40</f>
        <v>10746945.449999999</v>
      </c>
      <c r="F38" s="59">
        <f t="shared" ref="F38:Y38" si="23">+F39+F40</f>
        <v>10379977</v>
      </c>
      <c r="G38" s="59">
        <f t="shared" si="23"/>
        <v>0</v>
      </c>
      <c r="H38" s="59">
        <f t="shared" si="23"/>
        <v>0</v>
      </c>
      <c r="I38" s="59">
        <f t="shared" si="23"/>
        <v>0</v>
      </c>
      <c r="J38" s="59">
        <f t="shared" ref="J38" si="24">+J39+J40</f>
        <v>0</v>
      </c>
      <c r="K38" s="59">
        <f t="shared" ref="K38:L38" si="25">+K39+K40</f>
        <v>0</v>
      </c>
      <c r="L38" s="59">
        <f t="shared" si="25"/>
        <v>0</v>
      </c>
      <c r="M38" s="59">
        <f t="shared" si="23"/>
        <v>0</v>
      </c>
      <c r="N38" s="59">
        <f t="shared" si="23"/>
        <v>0</v>
      </c>
      <c r="O38" s="59">
        <f>+O39+O40</f>
        <v>0</v>
      </c>
      <c r="P38" s="59">
        <f t="shared" si="23"/>
        <v>5811.08</v>
      </c>
      <c r="Q38" s="59">
        <f t="shared" si="23"/>
        <v>0</v>
      </c>
      <c r="R38" s="59">
        <f t="shared" si="23"/>
        <v>137833.5</v>
      </c>
      <c r="S38" s="59">
        <f t="shared" si="23"/>
        <v>0</v>
      </c>
      <c r="T38" s="59">
        <f t="shared" si="23"/>
        <v>0</v>
      </c>
      <c r="U38" s="59">
        <f t="shared" si="23"/>
        <v>223323.87</v>
      </c>
      <c r="V38" s="59">
        <f t="shared" si="23"/>
        <v>0</v>
      </c>
      <c r="W38" s="59">
        <f t="shared" si="23"/>
        <v>0</v>
      </c>
      <c r="X38" s="59">
        <f t="shared" si="23"/>
        <v>0</v>
      </c>
      <c r="Y38" s="59">
        <f t="shared" si="23"/>
        <v>0</v>
      </c>
    </row>
    <row r="39" spans="1:25" s="26" customFormat="1" ht="30" x14ac:dyDescent="0.25">
      <c r="A39" s="94" t="s">
        <v>62</v>
      </c>
      <c r="B39" s="87" t="s">
        <v>61</v>
      </c>
      <c r="C39" s="23">
        <v>119</v>
      </c>
      <c r="D39" s="27"/>
      <c r="E39" s="24">
        <f>F39+G39+H39+I39+L39+M39+N39+P39+S39+T39+U39+V39+W39+X39+Y39+R39</f>
        <v>10746945.449999999</v>
      </c>
      <c r="F39" s="24">
        <f>9130855+524648+724474</f>
        <v>10379977</v>
      </c>
      <c r="G39" s="24"/>
      <c r="H39" s="24"/>
      <c r="I39" s="24"/>
      <c r="J39" s="24"/>
      <c r="K39" s="24"/>
      <c r="L39" s="24"/>
      <c r="M39" s="24"/>
      <c r="N39" s="24"/>
      <c r="O39" s="24"/>
      <c r="P39" s="24">
        <v>5811.08</v>
      </c>
      <c r="Q39" s="150"/>
      <c r="R39" s="24">
        <f>2757.5+135076</f>
        <v>137833.5</v>
      </c>
      <c r="S39" s="24"/>
      <c r="T39" s="24"/>
      <c r="U39" s="24">
        <f>202183.87+21140</f>
        <v>223323.87</v>
      </c>
      <c r="V39" s="24"/>
      <c r="W39" s="24"/>
      <c r="X39" s="24"/>
      <c r="Y39" s="24"/>
    </row>
    <row r="40" spans="1:25" s="26" customFormat="1" x14ac:dyDescent="0.25">
      <c r="A40" s="94" t="s">
        <v>63</v>
      </c>
      <c r="B40" s="87" t="s">
        <v>65</v>
      </c>
      <c r="C40" s="23">
        <v>119</v>
      </c>
      <c r="D40" s="27"/>
      <c r="E40" s="24">
        <f t="shared" ref="E40:E45" si="26">F40+G40+H40+I40+M40+N40+P40+S40+T40+U40+V40+W40+X40+Y40</f>
        <v>0</v>
      </c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150"/>
      <c r="R40" s="150"/>
      <c r="S40" s="24"/>
      <c r="T40" s="24"/>
      <c r="U40" s="24"/>
      <c r="V40" s="24"/>
      <c r="W40" s="24"/>
      <c r="X40" s="24"/>
      <c r="Y40" s="24"/>
    </row>
    <row r="41" spans="1:25" ht="30" x14ac:dyDescent="0.25">
      <c r="A41" s="66" t="s">
        <v>64</v>
      </c>
      <c r="B41" s="3" t="s">
        <v>66</v>
      </c>
      <c r="C41" s="19">
        <v>131</v>
      </c>
      <c r="D41" s="21"/>
      <c r="E41" s="22">
        <f t="shared" si="26"/>
        <v>0</v>
      </c>
      <c r="F41" s="24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1"/>
      <c r="R41" s="21"/>
      <c r="S41" s="22"/>
      <c r="T41" s="22"/>
      <c r="U41" s="22"/>
      <c r="V41" s="22"/>
      <c r="W41" s="22"/>
      <c r="X41" s="22"/>
      <c r="Y41" s="22"/>
    </row>
    <row r="42" spans="1:25" ht="45" x14ac:dyDescent="0.25">
      <c r="A42" s="66" t="s">
        <v>231</v>
      </c>
      <c r="B42" s="3" t="s">
        <v>67</v>
      </c>
      <c r="C42" s="19">
        <v>133</v>
      </c>
      <c r="D42" s="21"/>
      <c r="E42" s="22">
        <f t="shared" si="26"/>
        <v>0</v>
      </c>
      <c r="F42" s="24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03"/>
      <c r="R42" s="203"/>
      <c r="S42" s="22"/>
      <c r="T42" s="22"/>
      <c r="U42" s="22"/>
      <c r="V42" s="22"/>
      <c r="W42" s="22"/>
      <c r="X42" s="22"/>
      <c r="Y42" s="22"/>
    </row>
    <row r="43" spans="1:25" ht="30" customHeight="1" x14ac:dyDescent="0.25">
      <c r="A43" s="66" t="s">
        <v>232</v>
      </c>
      <c r="B43" s="3" t="s">
        <v>69</v>
      </c>
      <c r="C43" s="19">
        <v>134</v>
      </c>
      <c r="D43" s="21"/>
      <c r="E43" s="22">
        <f t="shared" si="26"/>
        <v>0</v>
      </c>
      <c r="F43" s="24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03"/>
      <c r="R43" s="203"/>
      <c r="S43" s="22"/>
      <c r="T43" s="22"/>
      <c r="U43" s="22"/>
      <c r="V43" s="22"/>
      <c r="W43" s="22"/>
      <c r="X43" s="22"/>
      <c r="Y43" s="22"/>
    </row>
    <row r="44" spans="1:25" ht="45" x14ac:dyDescent="0.25">
      <c r="A44" s="66" t="s">
        <v>68</v>
      </c>
      <c r="B44" s="3" t="s">
        <v>233</v>
      </c>
      <c r="C44" s="19">
        <v>139</v>
      </c>
      <c r="D44" s="21"/>
      <c r="E44" s="22">
        <f t="shared" si="26"/>
        <v>0</v>
      </c>
      <c r="F44" s="24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03"/>
      <c r="R44" s="203"/>
      <c r="S44" s="22"/>
      <c r="T44" s="22"/>
      <c r="U44" s="22"/>
      <c r="V44" s="22"/>
      <c r="W44" s="22"/>
      <c r="X44" s="22"/>
      <c r="Y44" s="22"/>
    </row>
    <row r="45" spans="1:25" x14ac:dyDescent="0.25">
      <c r="A45" s="71" t="s">
        <v>277</v>
      </c>
      <c r="B45" s="3" t="s">
        <v>234</v>
      </c>
      <c r="C45" s="19">
        <v>139</v>
      </c>
      <c r="D45" s="21"/>
      <c r="E45" s="22">
        <f t="shared" si="26"/>
        <v>0</v>
      </c>
      <c r="F45" s="24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03"/>
      <c r="R45" s="203"/>
      <c r="S45" s="22"/>
      <c r="T45" s="22"/>
      <c r="U45" s="22"/>
      <c r="V45" s="22"/>
      <c r="W45" s="22"/>
      <c r="X45" s="22"/>
      <c r="Y45" s="22"/>
    </row>
    <row r="46" spans="1:25" x14ac:dyDescent="0.25">
      <c r="A46" s="68" t="s">
        <v>72</v>
      </c>
      <c r="B46" s="5" t="s">
        <v>71</v>
      </c>
      <c r="C46" s="18">
        <v>300</v>
      </c>
      <c r="D46" s="28"/>
      <c r="E46" s="20">
        <f>+E47+E48</f>
        <v>0</v>
      </c>
      <c r="F46" s="25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3"/>
      <c r="R46" s="203"/>
      <c r="S46" s="20"/>
      <c r="T46" s="20"/>
      <c r="U46" s="20"/>
      <c r="V46" s="20"/>
      <c r="W46" s="20"/>
      <c r="X46" s="20"/>
      <c r="Y46" s="20"/>
    </row>
    <row r="47" spans="1:25" ht="30" x14ac:dyDescent="0.25">
      <c r="A47" s="71" t="s">
        <v>276</v>
      </c>
      <c r="B47" s="3" t="s">
        <v>74</v>
      </c>
      <c r="C47" s="159">
        <v>320</v>
      </c>
      <c r="D47" s="21"/>
      <c r="E47" s="22">
        <f t="shared" ref="E47:E57" si="27">F47+G47+H47+I47+M47+N47+P47+S47+T47+U47+V47+W47+X47+Y47</f>
        <v>0</v>
      </c>
      <c r="F47" s="24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1"/>
      <c r="R47" s="21"/>
      <c r="S47" s="22"/>
      <c r="T47" s="22"/>
      <c r="U47" s="22"/>
      <c r="V47" s="22"/>
      <c r="W47" s="22"/>
      <c r="X47" s="22"/>
      <c r="Y47" s="22"/>
    </row>
    <row r="48" spans="1:25" ht="30" x14ac:dyDescent="0.25">
      <c r="A48" s="71" t="s">
        <v>275</v>
      </c>
      <c r="B48" s="3" t="s">
        <v>75</v>
      </c>
      <c r="C48" s="19">
        <v>321</v>
      </c>
      <c r="D48" s="21"/>
      <c r="E48" s="22">
        <f t="shared" si="27"/>
        <v>0</v>
      </c>
      <c r="F48" s="24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1"/>
      <c r="R48" s="21"/>
      <c r="S48" s="22"/>
      <c r="T48" s="22"/>
      <c r="U48" s="22"/>
      <c r="V48" s="22"/>
      <c r="W48" s="22"/>
      <c r="X48" s="22"/>
      <c r="Y48" s="22"/>
    </row>
    <row r="49" spans="1:25" ht="15" hidden="1" customHeight="1" x14ac:dyDescent="0.25">
      <c r="A49" s="71"/>
      <c r="B49" s="3"/>
      <c r="C49" s="19"/>
      <c r="D49" s="21"/>
      <c r="E49" s="22">
        <f t="shared" si="27"/>
        <v>0</v>
      </c>
      <c r="F49" s="24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1"/>
      <c r="R49" s="21"/>
      <c r="S49" s="22"/>
      <c r="T49" s="22"/>
      <c r="U49" s="22"/>
      <c r="V49" s="22"/>
      <c r="W49" s="22"/>
      <c r="X49" s="22"/>
      <c r="Y49" s="22"/>
    </row>
    <row r="50" spans="1:25" ht="51.75" customHeight="1" x14ac:dyDescent="0.25">
      <c r="A50" s="71" t="s">
        <v>76</v>
      </c>
      <c r="B50" s="3" t="s">
        <v>77</v>
      </c>
      <c r="C50" s="19">
        <v>340</v>
      </c>
      <c r="D50" s="21"/>
      <c r="E50" s="22">
        <f t="shared" si="27"/>
        <v>0</v>
      </c>
      <c r="F50" s="24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1"/>
      <c r="R50" s="21"/>
      <c r="S50" s="22"/>
      <c r="T50" s="22"/>
      <c r="U50" s="22"/>
      <c r="V50" s="22"/>
      <c r="W50" s="22"/>
      <c r="X50" s="22"/>
      <c r="Y50" s="22"/>
    </row>
    <row r="51" spans="1:25" ht="60" x14ac:dyDescent="0.25">
      <c r="A51" s="71" t="s">
        <v>79</v>
      </c>
      <c r="B51" s="3" t="s">
        <v>78</v>
      </c>
      <c r="C51" s="19">
        <v>350</v>
      </c>
      <c r="D51" s="21"/>
      <c r="E51" s="22">
        <f t="shared" si="27"/>
        <v>0</v>
      </c>
      <c r="F51" s="24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1"/>
      <c r="R51" s="21"/>
      <c r="S51" s="22"/>
      <c r="T51" s="22"/>
      <c r="U51" s="22"/>
      <c r="V51" s="22"/>
      <c r="W51" s="22"/>
      <c r="X51" s="22"/>
      <c r="Y51" s="22"/>
    </row>
    <row r="52" spans="1:25" x14ac:dyDescent="0.25">
      <c r="A52" s="71" t="s">
        <v>235</v>
      </c>
      <c r="B52" s="3" t="s">
        <v>80</v>
      </c>
      <c r="C52" s="19">
        <v>360</v>
      </c>
      <c r="D52" s="21"/>
      <c r="E52" s="22">
        <f t="shared" si="27"/>
        <v>0</v>
      </c>
      <c r="F52" s="24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03"/>
      <c r="R52" s="203"/>
      <c r="S52" s="22"/>
      <c r="T52" s="22"/>
      <c r="U52" s="22"/>
      <c r="V52" s="22"/>
      <c r="W52" s="22"/>
      <c r="X52" s="22"/>
      <c r="Y52" s="22"/>
    </row>
    <row r="53" spans="1:25" s="44" customFormat="1" ht="19.5" customHeight="1" x14ac:dyDescent="0.25">
      <c r="A53" s="90" t="s">
        <v>82</v>
      </c>
      <c r="B53" s="86" t="s">
        <v>81</v>
      </c>
      <c r="C53" s="37">
        <v>850</v>
      </c>
      <c r="D53" s="38"/>
      <c r="E53" s="39">
        <f t="shared" si="27"/>
        <v>398500</v>
      </c>
      <c r="F53" s="39">
        <f t="shared" ref="F53:Y53" si="28">+F54+F55+F56</f>
        <v>398500</v>
      </c>
      <c r="G53" s="39">
        <f t="shared" si="28"/>
        <v>0</v>
      </c>
      <c r="H53" s="39">
        <f t="shared" si="28"/>
        <v>0</v>
      </c>
      <c r="I53" s="39">
        <f t="shared" si="28"/>
        <v>0</v>
      </c>
      <c r="J53" s="39">
        <f t="shared" ref="J53" si="29">+J54+J55+J56</f>
        <v>0</v>
      </c>
      <c r="K53" s="39">
        <f t="shared" ref="K53:L53" si="30">+K54+K55+K56</f>
        <v>0</v>
      </c>
      <c r="L53" s="39">
        <f t="shared" si="30"/>
        <v>0</v>
      </c>
      <c r="M53" s="39">
        <f t="shared" si="28"/>
        <v>0</v>
      </c>
      <c r="N53" s="39">
        <f t="shared" si="28"/>
        <v>0</v>
      </c>
      <c r="O53" s="39">
        <f>+O54+O55+O56</f>
        <v>0</v>
      </c>
      <c r="P53" s="39">
        <f t="shared" si="28"/>
        <v>0</v>
      </c>
      <c r="Q53" s="39">
        <f t="shared" si="28"/>
        <v>0</v>
      </c>
      <c r="R53" s="39">
        <f t="shared" si="28"/>
        <v>0</v>
      </c>
      <c r="S53" s="39">
        <f t="shared" si="28"/>
        <v>0</v>
      </c>
      <c r="T53" s="39">
        <f t="shared" si="28"/>
        <v>0</v>
      </c>
      <c r="U53" s="39">
        <f t="shared" si="28"/>
        <v>0</v>
      </c>
      <c r="V53" s="39">
        <f t="shared" si="28"/>
        <v>0</v>
      </c>
      <c r="W53" s="39">
        <f t="shared" si="28"/>
        <v>0</v>
      </c>
      <c r="X53" s="39">
        <f t="shared" si="28"/>
        <v>0</v>
      </c>
      <c r="Y53" s="32">
        <f t="shared" si="28"/>
        <v>0</v>
      </c>
    </row>
    <row r="54" spans="1:25" s="26" customFormat="1" ht="30" x14ac:dyDescent="0.25">
      <c r="A54" s="94" t="s">
        <v>83</v>
      </c>
      <c r="B54" s="87" t="s">
        <v>84</v>
      </c>
      <c r="C54" s="23">
        <v>851</v>
      </c>
      <c r="D54" s="27"/>
      <c r="E54" s="24">
        <f t="shared" si="27"/>
        <v>395500</v>
      </c>
      <c r="F54" s="24">
        <f>158000+237500</f>
        <v>395500</v>
      </c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150"/>
      <c r="R54" s="150"/>
      <c r="S54" s="24"/>
      <c r="T54" s="24"/>
      <c r="U54" s="24"/>
      <c r="V54" s="24"/>
      <c r="W54" s="24"/>
      <c r="X54" s="24"/>
      <c r="Y54" s="24"/>
    </row>
    <row r="55" spans="1:25" s="26" customFormat="1" ht="45" x14ac:dyDescent="0.25">
      <c r="A55" s="94" t="s">
        <v>86</v>
      </c>
      <c r="B55" s="87" t="s">
        <v>85</v>
      </c>
      <c r="C55" s="23">
        <v>852</v>
      </c>
      <c r="D55" s="27"/>
      <c r="E55" s="24">
        <f t="shared" si="27"/>
        <v>0</v>
      </c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150"/>
      <c r="R55" s="150"/>
      <c r="S55" s="24"/>
      <c r="T55" s="24"/>
      <c r="U55" s="24"/>
      <c r="V55" s="24"/>
      <c r="W55" s="24"/>
      <c r="X55" s="24"/>
      <c r="Y55" s="24"/>
    </row>
    <row r="56" spans="1:25" s="26" customFormat="1" ht="30" x14ac:dyDescent="0.25">
      <c r="A56" s="94" t="s">
        <v>87</v>
      </c>
      <c r="B56" s="87" t="s">
        <v>88</v>
      </c>
      <c r="C56" s="23">
        <v>853</v>
      </c>
      <c r="D56" s="27"/>
      <c r="E56" s="24">
        <f t="shared" si="27"/>
        <v>3000</v>
      </c>
      <c r="F56" s="24">
        <v>3000</v>
      </c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150"/>
      <c r="R56" s="150"/>
      <c r="S56" s="24"/>
      <c r="T56" s="24"/>
      <c r="U56" s="24"/>
      <c r="V56" s="24"/>
      <c r="W56" s="24"/>
      <c r="X56" s="24"/>
      <c r="Y56" s="24"/>
    </row>
    <row r="57" spans="1:25" s="26" customFormat="1" ht="28.5" customHeight="1" x14ac:dyDescent="0.25">
      <c r="A57" s="68" t="s">
        <v>90</v>
      </c>
      <c r="B57" s="5" t="s">
        <v>89</v>
      </c>
      <c r="C57" s="18" t="s">
        <v>20</v>
      </c>
      <c r="D57" s="28"/>
      <c r="E57" s="20">
        <f t="shared" si="27"/>
        <v>0</v>
      </c>
      <c r="F57" s="25">
        <f t="shared" ref="F57:Y57" si="31">+F61+F62+F63</f>
        <v>0</v>
      </c>
      <c r="G57" s="20">
        <f t="shared" si="31"/>
        <v>0</v>
      </c>
      <c r="H57" s="20">
        <f t="shared" si="31"/>
        <v>0</v>
      </c>
      <c r="I57" s="20">
        <f t="shared" si="31"/>
        <v>0</v>
      </c>
      <c r="J57" s="20">
        <f t="shared" ref="J57" si="32">+J61+J62+J63</f>
        <v>0</v>
      </c>
      <c r="K57" s="20">
        <f t="shared" ref="K57:L57" si="33">+K61+K62+K63</f>
        <v>0</v>
      </c>
      <c r="L57" s="20">
        <f t="shared" si="33"/>
        <v>0</v>
      </c>
      <c r="M57" s="20">
        <f t="shared" si="31"/>
        <v>0</v>
      </c>
      <c r="N57" s="20">
        <f t="shared" si="31"/>
        <v>0</v>
      </c>
      <c r="O57" s="20">
        <f>+O61+O62+O63</f>
        <v>0</v>
      </c>
      <c r="P57" s="20">
        <f t="shared" si="31"/>
        <v>0</v>
      </c>
      <c r="Q57" s="20">
        <f t="shared" si="31"/>
        <v>0</v>
      </c>
      <c r="R57" s="20">
        <f t="shared" si="31"/>
        <v>0</v>
      </c>
      <c r="S57" s="20">
        <f t="shared" si="31"/>
        <v>0</v>
      </c>
      <c r="T57" s="20">
        <f t="shared" si="31"/>
        <v>0</v>
      </c>
      <c r="U57" s="25">
        <f t="shared" si="31"/>
        <v>0</v>
      </c>
      <c r="V57" s="25">
        <f t="shared" si="31"/>
        <v>0</v>
      </c>
      <c r="W57" s="25">
        <f t="shared" si="31"/>
        <v>0</v>
      </c>
      <c r="X57" s="20">
        <f t="shared" si="31"/>
        <v>0</v>
      </c>
      <c r="Y57" s="20">
        <f t="shared" si="31"/>
        <v>0</v>
      </c>
    </row>
    <row r="58" spans="1:25" s="26" customFormat="1" x14ac:dyDescent="0.25">
      <c r="A58" s="71" t="s">
        <v>236</v>
      </c>
      <c r="B58" s="3" t="s">
        <v>91</v>
      </c>
      <c r="C58" s="159">
        <v>613</v>
      </c>
      <c r="D58" s="28"/>
      <c r="E58" s="20"/>
      <c r="F58" s="25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50"/>
      <c r="R58" s="150"/>
      <c r="S58" s="20"/>
      <c r="T58" s="20"/>
      <c r="U58" s="25"/>
      <c r="V58" s="25"/>
      <c r="W58" s="25"/>
      <c r="X58" s="20"/>
      <c r="Y58" s="20"/>
    </row>
    <row r="59" spans="1:25" s="26" customFormat="1" x14ac:dyDescent="0.25">
      <c r="A59" s="71" t="s">
        <v>237</v>
      </c>
      <c r="B59" s="3" t="s">
        <v>92</v>
      </c>
      <c r="C59" s="159">
        <v>623</v>
      </c>
      <c r="D59" s="28"/>
      <c r="E59" s="20"/>
      <c r="F59" s="25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150"/>
      <c r="R59" s="150"/>
      <c r="S59" s="20"/>
      <c r="T59" s="20"/>
      <c r="U59" s="25"/>
      <c r="V59" s="25"/>
      <c r="W59" s="25"/>
      <c r="X59" s="20"/>
      <c r="Y59" s="20"/>
    </row>
    <row r="60" spans="1:25" s="26" customFormat="1" ht="34.5" customHeight="1" x14ac:dyDescent="0.25">
      <c r="A60" s="71" t="s">
        <v>238</v>
      </c>
      <c r="B60" s="3" t="s">
        <v>95</v>
      </c>
      <c r="C60" s="159">
        <v>634</v>
      </c>
      <c r="D60" s="28"/>
      <c r="E60" s="20"/>
      <c r="F60" s="25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150"/>
      <c r="R60" s="150"/>
      <c r="S60" s="20"/>
      <c r="T60" s="20"/>
      <c r="U60" s="25"/>
      <c r="V60" s="25"/>
      <c r="W60" s="25"/>
      <c r="X60" s="20"/>
      <c r="Y60" s="20"/>
    </row>
    <row r="61" spans="1:25" ht="30" x14ac:dyDescent="0.25">
      <c r="A61" s="71" t="s">
        <v>239</v>
      </c>
      <c r="B61" s="3" t="s">
        <v>240</v>
      </c>
      <c r="C61" s="19">
        <v>810</v>
      </c>
      <c r="D61" s="21"/>
      <c r="E61" s="22">
        <f>F61+G61+H61+I61+M61+N61+P61+S61+T61+U61+V61+W61+X61+Y61</f>
        <v>0</v>
      </c>
      <c r="F61" s="24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03"/>
      <c r="R61" s="203"/>
      <c r="S61" s="22"/>
      <c r="T61" s="22"/>
      <c r="U61" s="22"/>
      <c r="V61" s="22"/>
      <c r="W61" s="22"/>
      <c r="X61" s="22"/>
      <c r="Y61" s="22"/>
    </row>
    <row r="62" spans="1:25" x14ac:dyDescent="0.25">
      <c r="A62" s="71" t="s">
        <v>93</v>
      </c>
      <c r="B62" s="3" t="s">
        <v>241</v>
      </c>
      <c r="C62" s="19">
        <v>862</v>
      </c>
      <c r="D62" s="21"/>
      <c r="E62" s="22">
        <f>F62+G62+H62+I62+M62+N62+P62+S62+T62+U62+V62+W62+X62+Y62</f>
        <v>0</v>
      </c>
      <c r="F62" s="24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03"/>
      <c r="R62" s="203"/>
      <c r="S62" s="22"/>
      <c r="T62" s="22"/>
      <c r="U62" s="22"/>
      <c r="V62" s="22"/>
      <c r="W62" s="22"/>
      <c r="X62" s="22"/>
      <c r="Y62" s="22"/>
    </row>
    <row r="63" spans="1:25" ht="45" x14ac:dyDescent="0.25">
      <c r="A63" s="71" t="s">
        <v>94</v>
      </c>
      <c r="B63" s="3" t="s">
        <v>242</v>
      </c>
      <c r="C63" s="19">
        <v>863</v>
      </c>
      <c r="D63" s="21"/>
      <c r="E63" s="22">
        <f>F63+G63+H63+I63+M63+N63+P63+S63+T63+U63+V63+W63+X63+Y63</f>
        <v>0</v>
      </c>
      <c r="F63" s="24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03"/>
      <c r="R63" s="203"/>
      <c r="S63" s="22"/>
      <c r="T63" s="22"/>
      <c r="U63" s="22"/>
      <c r="V63" s="22"/>
      <c r="W63" s="22"/>
      <c r="X63" s="22"/>
      <c r="Y63" s="22"/>
    </row>
    <row r="64" spans="1:25" s="80" customFormat="1" ht="39" customHeight="1" x14ac:dyDescent="0.25">
      <c r="A64" s="68" t="s">
        <v>97</v>
      </c>
      <c r="B64" s="5" t="s">
        <v>98</v>
      </c>
      <c r="C64" s="18" t="s">
        <v>20</v>
      </c>
      <c r="D64" s="58"/>
      <c r="E64" s="25">
        <f>+E65</f>
        <v>0</v>
      </c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152"/>
      <c r="R64" s="152"/>
      <c r="S64" s="25"/>
      <c r="T64" s="25"/>
      <c r="U64" s="25">
        <f>+U65</f>
        <v>0</v>
      </c>
      <c r="V64" s="25">
        <f t="shared" ref="V64:W64" si="34">+V65</f>
        <v>0</v>
      </c>
      <c r="W64" s="25">
        <f t="shared" si="34"/>
        <v>0</v>
      </c>
      <c r="X64" s="25"/>
      <c r="Y64" s="25"/>
    </row>
    <row r="65" spans="1:25" s="80" customFormat="1" ht="45" x14ac:dyDescent="0.25">
      <c r="A65" s="71" t="s">
        <v>100</v>
      </c>
      <c r="B65" s="3" t="s">
        <v>99</v>
      </c>
      <c r="C65" s="19">
        <v>831</v>
      </c>
      <c r="D65" s="27"/>
      <c r="E65" s="24">
        <f>F65+G65+H65+I65+M65+N65+P65+S65+T65+U65+V65+W65+X65+Y65</f>
        <v>0</v>
      </c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152"/>
      <c r="R65" s="152"/>
      <c r="S65" s="24"/>
      <c r="T65" s="24"/>
      <c r="U65" s="24"/>
      <c r="V65" s="24"/>
      <c r="W65" s="24"/>
      <c r="X65" s="24"/>
      <c r="Y65" s="24"/>
    </row>
    <row r="66" spans="1:25" s="44" customFormat="1" ht="20.25" customHeight="1" x14ac:dyDescent="0.25">
      <c r="A66" s="90" t="s">
        <v>102</v>
      </c>
      <c r="B66" s="86" t="s">
        <v>96</v>
      </c>
      <c r="C66" s="37" t="s">
        <v>20</v>
      </c>
      <c r="D66" s="38"/>
      <c r="E66" s="39">
        <f>E67+E69+E70+E78+E79+E77</f>
        <v>16314149.379999999</v>
      </c>
      <c r="F66" s="39">
        <f>F67+F69+F70+F78+F79+F77</f>
        <v>8041105.2199999997</v>
      </c>
      <c r="G66" s="39">
        <f t="shared" ref="G66:Y66" si="35">G67+G69+G70+G78+G79+G77</f>
        <v>998587.66</v>
      </c>
      <c r="H66" s="39">
        <f t="shared" si="35"/>
        <v>0</v>
      </c>
      <c r="I66" s="39">
        <f t="shared" si="35"/>
        <v>1175300</v>
      </c>
      <c r="J66" s="39">
        <f t="shared" si="35"/>
        <v>3269700</v>
      </c>
      <c r="K66" s="39">
        <f t="shared" ref="K66" si="36">K67+K69+K70+K78+K79+K77</f>
        <v>323400</v>
      </c>
      <c r="L66" s="39">
        <f t="shared" ref="L66" si="37">L67+L69+L70+L78+L79+L77</f>
        <v>1195404</v>
      </c>
      <c r="M66" s="39">
        <f t="shared" si="35"/>
        <v>0</v>
      </c>
      <c r="N66" s="39">
        <f t="shared" si="35"/>
        <v>0</v>
      </c>
      <c r="O66" s="39">
        <f>O67+O69+O70+O78+O79+O77</f>
        <v>26100</v>
      </c>
      <c r="P66" s="39">
        <f t="shared" si="35"/>
        <v>0</v>
      </c>
      <c r="Q66" s="39">
        <f t="shared" si="35"/>
        <v>0</v>
      </c>
      <c r="R66" s="39">
        <f t="shared" si="35"/>
        <v>0</v>
      </c>
      <c r="S66" s="39">
        <f t="shared" si="35"/>
        <v>0</v>
      </c>
      <c r="T66" s="39">
        <f t="shared" si="35"/>
        <v>0</v>
      </c>
      <c r="U66" s="39">
        <f t="shared" si="35"/>
        <v>564552.5</v>
      </c>
      <c r="V66" s="39">
        <f t="shared" si="35"/>
        <v>400000</v>
      </c>
      <c r="W66" s="39">
        <f t="shared" si="35"/>
        <v>320000</v>
      </c>
      <c r="X66" s="39">
        <f t="shared" si="35"/>
        <v>0</v>
      </c>
      <c r="Y66" s="39">
        <f t="shared" si="35"/>
        <v>0</v>
      </c>
    </row>
    <row r="67" spans="1:25" ht="31.5" customHeight="1" x14ac:dyDescent="0.25">
      <c r="A67" s="71" t="s">
        <v>274</v>
      </c>
      <c r="B67" s="3" t="s">
        <v>103</v>
      </c>
      <c r="C67" s="19">
        <v>241</v>
      </c>
      <c r="D67" s="21"/>
      <c r="E67" s="22">
        <f>F67+G67+H67+I67+M67+N67+P67+S67+T67+U67+V67+W67+X67+Y67</f>
        <v>0</v>
      </c>
      <c r="F67" s="24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1"/>
      <c r="R67" s="21"/>
      <c r="S67" s="22"/>
      <c r="T67" s="22"/>
      <c r="U67" s="22"/>
      <c r="V67" s="22"/>
      <c r="W67" s="22"/>
      <c r="X67" s="22"/>
      <c r="Y67" s="22"/>
    </row>
    <row r="68" spans="1:25" ht="15" hidden="1" customHeight="1" x14ac:dyDescent="0.25">
      <c r="A68" s="71"/>
      <c r="B68" s="3"/>
      <c r="C68" s="19"/>
      <c r="D68" s="21"/>
      <c r="E68" s="22"/>
      <c r="F68" s="24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03"/>
      <c r="R68" s="203"/>
      <c r="S68" s="22"/>
      <c r="T68" s="22"/>
      <c r="U68" s="22"/>
      <c r="V68" s="22"/>
      <c r="W68" s="22"/>
      <c r="X68" s="22"/>
      <c r="Y68" s="22"/>
    </row>
    <row r="69" spans="1:25" s="26" customFormat="1" ht="30" x14ac:dyDescent="0.25">
      <c r="A69" s="94" t="s">
        <v>106</v>
      </c>
      <c r="B69" s="87" t="s">
        <v>105</v>
      </c>
      <c r="C69" s="23">
        <v>243</v>
      </c>
      <c r="D69" s="27"/>
      <c r="E69" s="24">
        <f>F69+G69+H69+I69+M69+N69+P69+J69</f>
        <v>0</v>
      </c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7"/>
      <c r="R69" s="27"/>
      <c r="S69" s="24"/>
      <c r="T69" s="24"/>
      <c r="U69" s="24"/>
      <c r="V69" s="24"/>
      <c r="W69" s="24"/>
      <c r="X69" s="24"/>
      <c r="Y69" s="24"/>
    </row>
    <row r="70" spans="1:25" s="79" customFormat="1" ht="18" customHeight="1" x14ac:dyDescent="0.25">
      <c r="A70" s="155" t="s">
        <v>107</v>
      </c>
      <c r="B70" s="86" t="s">
        <v>108</v>
      </c>
      <c r="C70" s="37">
        <v>244</v>
      </c>
      <c r="D70" s="38"/>
      <c r="E70" s="39">
        <f>F70+G70+H70+I70+O70+K70+L70+M70+N70+P70+J70+S70+T70+U70+V70+W70+X70+Y70</f>
        <v>13717375.379999999</v>
      </c>
      <c r="F70" s="39">
        <f>F71+46000+162000+2958564+743736+246736+524264+20000+436000+120000+820417.22+330000-2250000-450000+2250000+450000-674800-557600-110932.15</f>
        <v>5875105.2199999997</v>
      </c>
      <c r="G70" s="39">
        <f>G71+57600+49505.16+83400+242.5</f>
        <v>998587.66</v>
      </c>
      <c r="H70" s="39">
        <f t="shared" ref="H70:X70" si="38">H71</f>
        <v>0</v>
      </c>
      <c r="I70" s="39">
        <f>I71+1000000+75300+100000</f>
        <v>1175300</v>
      </c>
      <c r="J70" s="39">
        <f>J71+3269700</f>
        <v>3269700</v>
      </c>
      <c r="K70" s="39">
        <f>K71+263424+59976</f>
        <v>323400</v>
      </c>
      <c r="L70" s="39">
        <f>L71+1195404</f>
        <v>1195404</v>
      </c>
      <c r="M70" s="39">
        <f t="shared" si="38"/>
        <v>0</v>
      </c>
      <c r="N70" s="39">
        <f t="shared" si="38"/>
        <v>0</v>
      </c>
      <c r="O70" s="39">
        <f>O71+30700-4600</f>
        <v>26100</v>
      </c>
      <c r="P70" s="39">
        <f t="shared" si="38"/>
        <v>0</v>
      </c>
      <c r="Q70" s="39">
        <f t="shared" si="38"/>
        <v>0</v>
      </c>
      <c r="R70" s="39">
        <f t="shared" si="38"/>
        <v>0</v>
      </c>
      <c r="S70" s="39">
        <f t="shared" si="38"/>
        <v>0</v>
      </c>
      <c r="T70" s="39">
        <f t="shared" si="38"/>
        <v>0</v>
      </c>
      <c r="U70" s="39">
        <f>U71+30000+138000+50000</f>
        <v>533778.5</v>
      </c>
      <c r="V70" s="39">
        <f>V71</f>
        <v>0</v>
      </c>
      <c r="W70" s="39">
        <f>W71+90000</f>
        <v>320000</v>
      </c>
      <c r="X70" s="39">
        <f t="shared" si="38"/>
        <v>0</v>
      </c>
      <c r="Y70" s="39">
        <f t="shared" ref="Y70" si="39">Y71</f>
        <v>0</v>
      </c>
    </row>
    <row r="71" spans="1:25" s="26" customFormat="1" ht="30" x14ac:dyDescent="0.25">
      <c r="A71" s="143" t="s">
        <v>129</v>
      </c>
      <c r="B71" s="87" t="s">
        <v>130</v>
      </c>
      <c r="C71" s="23">
        <v>244</v>
      </c>
      <c r="D71" s="27"/>
      <c r="E71" s="24">
        <f>E73+E74+E75</f>
        <v>2164338.65</v>
      </c>
      <c r="F71" s="24">
        <f>F73+F75</f>
        <v>810720.15</v>
      </c>
      <c r="G71" s="24">
        <f>G73+G74+G75</f>
        <v>807840</v>
      </c>
      <c r="H71" s="24">
        <f t="shared" ref="H71:Y71" si="40">H73+H74+H75</f>
        <v>0</v>
      </c>
      <c r="I71" s="24">
        <f t="shared" si="40"/>
        <v>0</v>
      </c>
      <c r="J71" s="24">
        <f>J73+J74+J75</f>
        <v>0</v>
      </c>
      <c r="K71" s="24">
        <f>K73+K74+K75</f>
        <v>0</v>
      </c>
      <c r="L71" s="24">
        <f>L73+L74+L75</f>
        <v>0</v>
      </c>
      <c r="M71" s="24">
        <f t="shared" si="40"/>
        <v>0</v>
      </c>
      <c r="N71" s="24">
        <f t="shared" si="40"/>
        <v>0</v>
      </c>
      <c r="O71" s="24">
        <f>O73+O74+O75</f>
        <v>0</v>
      </c>
      <c r="P71" s="24">
        <f t="shared" si="40"/>
        <v>0</v>
      </c>
      <c r="Q71" s="24">
        <f t="shared" si="40"/>
        <v>0</v>
      </c>
      <c r="R71" s="24">
        <f t="shared" si="40"/>
        <v>0</v>
      </c>
      <c r="S71" s="24">
        <f t="shared" si="40"/>
        <v>0</v>
      </c>
      <c r="T71" s="24">
        <f t="shared" si="40"/>
        <v>0</v>
      </c>
      <c r="U71" s="24">
        <f t="shared" si="40"/>
        <v>315778.5</v>
      </c>
      <c r="V71" s="24">
        <f t="shared" si="40"/>
        <v>0</v>
      </c>
      <c r="W71" s="24">
        <f t="shared" si="40"/>
        <v>230000</v>
      </c>
      <c r="X71" s="24">
        <f t="shared" si="40"/>
        <v>0</v>
      </c>
      <c r="Y71" s="24">
        <f t="shared" si="40"/>
        <v>0</v>
      </c>
    </row>
    <row r="72" spans="1:25" s="26" customFormat="1" x14ac:dyDescent="0.25">
      <c r="A72" s="143" t="s">
        <v>123</v>
      </c>
      <c r="B72" s="87"/>
      <c r="C72" s="23"/>
      <c r="D72" s="27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150"/>
      <c r="R72" s="150"/>
      <c r="S72" s="24"/>
      <c r="T72" s="24"/>
      <c r="U72" s="24"/>
      <c r="V72" s="24"/>
      <c r="W72" s="24"/>
      <c r="X72" s="24"/>
      <c r="Y72" s="24"/>
    </row>
    <row r="73" spans="1:25" s="26" customFormat="1" x14ac:dyDescent="0.25">
      <c r="A73" s="143" t="s">
        <v>125</v>
      </c>
      <c r="B73" s="87" t="s">
        <v>131</v>
      </c>
      <c r="C73" s="23">
        <v>244</v>
      </c>
      <c r="D73" s="27"/>
      <c r="E73" s="24">
        <f>F73+G73+H73+I73+M73+N73+P73+S73+T73+U73+V73+W73+X73+Y73</f>
        <v>941049.13</v>
      </c>
      <c r="F73" s="24">
        <f>491760+147528+58602</f>
        <v>697890</v>
      </c>
      <c r="G73" s="24"/>
      <c r="H73" s="24"/>
      <c r="I73" s="24"/>
      <c r="J73" s="24"/>
      <c r="K73" s="24"/>
      <c r="L73" s="24">
        <f>94000-94000</f>
        <v>0</v>
      </c>
      <c r="M73" s="24"/>
      <c r="N73" s="24"/>
      <c r="O73" s="24"/>
      <c r="P73" s="24"/>
      <c r="Q73" s="150"/>
      <c r="R73" s="150"/>
      <c r="S73" s="24"/>
      <c r="T73" s="24"/>
      <c r="U73" s="24">
        <f>113159.13-50000</f>
        <v>63159.130000000005</v>
      </c>
      <c r="V73" s="24"/>
      <c r="W73" s="24">
        <f>180000</f>
        <v>180000</v>
      </c>
      <c r="X73" s="24"/>
      <c r="Y73" s="24"/>
    </row>
    <row r="74" spans="1:25" s="80" customFormat="1" x14ac:dyDescent="0.25">
      <c r="A74" s="149" t="s">
        <v>126</v>
      </c>
      <c r="B74" s="103" t="s">
        <v>132</v>
      </c>
      <c r="C74" s="104">
        <v>244</v>
      </c>
      <c r="D74" s="106"/>
      <c r="E74" s="107">
        <f>F74+G74+H74+I74+M74+N74+P74+S74+T74+U74+V74+W74+X74+Y74</f>
        <v>0</v>
      </c>
      <c r="F74" s="107"/>
      <c r="G74" s="107"/>
      <c r="H74" s="107"/>
      <c r="I74" s="107"/>
      <c r="J74" s="107"/>
      <c r="K74" s="107"/>
      <c r="L74" s="107"/>
      <c r="M74" s="107"/>
      <c r="N74" s="107"/>
      <c r="O74" s="107"/>
      <c r="P74" s="107"/>
      <c r="Q74" s="152"/>
      <c r="R74" s="152"/>
      <c r="S74" s="107"/>
      <c r="T74" s="107"/>
      <c r="U74" s="107"/>
      <c r="V74" s="107"/>
      <c r="W74" s="107"/>
      <c r="X74" s="107"/>
      <c r="Y74" s="107"/>
    </row>
    <row r="75" spans="1:25" s="26" customFormat="1" x14ac:dyDescent="0.25">
      <c r="A75" s="143" t="s">
        <v>127</v>
      </c>
      <c r="B75" s="87" t="s">
        <v>133</v>
      </c>
      <c r="C75" s="23">
        <v>244</v>
      </c>
      <c r="D75" s="27"/>
      <c r="E75" s="24">
        <f>F75+G75+H75+I75+K75+L75+M75+N75+P75+J75+S75+T75+U75+V75+W75+X75+Y75</f>
        <v>1223289.52</v>
      </c>
      <c r="F75" s="24">
        <f>60500+330000-330000+52330.15</f>
        <v>112830.15</v>
      </c>
      <c r="G75" s="24">
        <f>57024+750816</f>
        <v>807840</v>
      </c>
      <c r="H75" s="24"/>
      <c r="I75" s="24"/>
      <c r="J75" s="24"/>
      <c r="K75" s="24"/>
      <c r="L75" s="24">
        <f>206000-206000</f>
        <v>0</v>
      </c>
      <c r="M75" s="24"/>
      <c r="N75" s="24"/>
      <c r="O75" s="24"/>
      <c r="P75" s="24"/>
      <c r="Q75" s="150"/>
      <c r="R75" s="150"/>
      <c r="S75" s="24"/>
      <c r="T75" s="24"/>
      <c r="U75" s="24">
        <f>30000+100000+72619.37+50000</f>
        <v>252619.37</v>
      </c>
      <c r="V75" s="24"/>
      <c r="W75" s="24">
        <f>50000</f>
        <v>50000</v>
      </c>
      <c r="X75" s="24"/>
      <c r="Y75" s="24"/>
    </row>
    <row r="76" spans="1:25" s="111" customFormat="1" x14ac:dyDescent="0.25">
      <c r="A76" s="144" t="s">
        <v>128</v>
      </c>
      <c r="B76" s="95"/>
      <c r="C76" s="41"/>
      <c r="D76" s="42"/>
      <c r="E76" s="43">
        <f>F76+G76+H76+I76+K76+M76+N76+P76+J76+S76+T76+U76+V76+W76+X76+Y76</f>
        <v>807840</v>
      </c>
      <c r="F76" s="43"/>
      <c r="G76" s="43">
        <f>57024+750816</f>
        <v>807840</v>
      </c>
      <c r="H76" s="43"/>
      <c r="I76" s="43"/>
      <c r="J76" s="43"/>
      <c r="K76" s="43"/>
      <c r="L76" s="43"/>
      <c r="M76" s="43"/>
      <c r="N76" s="43"/>
      <c r="O76" s="43"/>
      <c r="P76" s="43"/>
      <c r="Q76" s="153"/>
      <c r="R76" s="153"/>
      <c r="S76" s="43"/>
      <c r="T76" s="43"/>
      <c r="U76" s="43"/>
      <c r="V76" s="43"/>
      <c r="W76" s="43"/>
      <c r="X76" s="43"/>
      <c r="Y76" s="43"/>
    </row>
    <row r="77" spans="1:25" s="111" customFormat="1" ht="45" x14ac:dyDescent="0.25">
      <c r="A77" s="182" t="s">
        <v>273</v>
      </c>
      <c r="B77" s="163" t="s">
        <v>124</v>
      </c>
      <c r="C77" s="164">
        <v>246</v>
      </c>
      <c r="D77" s="167"/>
      <c r="E77" s="24">
        <f>F77+G77+H77+I77+M77+N77+P77+J77+S77+T77+U77+V77+W77+X77+Y77</f>
        <v>0</v>
      </c>
      <c r="F77" s="168"/>
      <c r="G77" s="168"/>
      <c r="H77" s="168"/>
      <c r="I77" s="168"/>
      <c r="J77" s="168"/>
      <c r="K77" s="168"/>
      <c r="L77" s="168"/>
      <c r="M77" s="168"/>
      <c r="N77" s="168"/>
      <c r="O77" s="168"/>
      <c r="P77" s="168"/>
      <c r="Q77" s="169"/>
      <c r="R77" s="169"/>
      <c r="S77" s="168"/>
      <c r="T77" s="168"/>
      <c r="U77" s="168"/>
      <c r="V77" s="168"/>
      <c r="W77" s="168"/>
      <c r="X77" s="168"/>
      <c r="Y77" s="43"/>
    </row>
    <row r="78" spans="1:25" s="178" customFormat="1" ht="13.5" customHeight="1" x14ac:dyDescent="0.25">
      <c r="A78" s="185" t="s">
        <v>259</v>
      </c>
      <c r="B78" s="165" t="s">
        <v>261</v>
      </c>
      <c r="C78" s="166">
        <v>247</v>
      </c>
      <c r="D78" s="61"/>
      <c r="E78" s="59">
        <f>F78+G78+H78+I78+M78+N78+P78+J78+S78+T78+U78+V78+W78+X78+Y78</f>
        <v>2596774</v>
      </c>
      <c r="F78" s="154">
        <v>2166000</v>
      </c>
      <c r="G78" s="60"/>
      <c r="H78" s="60"/>
      <c r="I78" s="59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0">
        <v>30774</v>
      </c>
      <c r="V78" s="60">
        <v>400000</v>
      </c>
      <c r="W78" s="61"/>
      <c r="X78" s="61"/>
      <c r="Y78" s="61"/>
    </row>
    <row r="79" spans="1:25" ht="30" x14ac:dyDescent="0.25">
      <c r="A79" s="66" t="s">
        <v>122</v>
      </c>
      <c r="B79" s="171" t="s">
        <v>262</v>
      </c>
      <c r="C79" s="19">
        <v>400</v>
      </c>
      <c r="D79" s="21"/>
      <c r="E79" s="22">
        <f>+E80+E81</f>
        <v>0</v>
      </c>
      <c r="F79" s="24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1"/>
      <c r="R79" s="21"/>
      <c r="S79" s="22"/>
      <c r="T79" s="22"/>
      <c r="U79" s="22"/>
      <c r="V79" s="22"/>
      <c r="W79" s="22"/>
      <c r="X79" s="22"/>
      <c r="Y79" s="22"/>
    </row>
    <row r="80" spans="1:25" ht="45" x14ac:dyDescent="0.25">
      <c r="A80" s="71" t="s">
        <v>109</v>
      </c>
      <c r="B80" s="171" t="s">
        <v>263</v>
      </c>
      <c r="C80" s="19">
        <v>406</v>
      </c>
      <c r="D80" s="21"/>
      <c r="E80" s="22"/>
      <c r="F80" s="24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1"/>
      <c r="R80" s="21"/>
      <c r="S80" s="22"/>
      <c r="T80" s="22"/>
      <c r="U80" s="22"/>
      <c r="V80" s="22"/>
      <c r="W80" s="22"/>
      <c r="X80" s="22"/>
      <c r="Y80" s="22"/>
    </row>
    <row r="81" spans="1:25" ht="45" x14ac:dyDescent="0.25">
      <c r="A81" s="71" t="s">
        <v>110</v>
      </c>
      <c r="B81" s="171" t="s">
        <v>264</v>
      </c>
      <c r="C81" s="19">
        <v>407</v>
      </c>
      <c r="D81" s="21"/>
      <c r="E81" s="22"/>
      <c r="F81" s="24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1"/>
      <c r="R81" s="21"/>
      <c r="S81" s="22"/>
      <c r="T81" s="22"/>
      <c r="U81" s="22"/>
      <c r="V81" s="22"/>
      <c r="W81" s="22"/>
      <c r="X81" s="22"/>
      <c r="Y81" s="22"/>
    </row>
    <row r="82" spans="1:25" x14ac:dyDescent="0.25">
      <c r="A82" s="71" t="s">
        <v>288</v>
      </c>
      <c r="B82" s="171" t="s">
        <v>289</v>
      </c>
      <c r="C82" s="19">
        <v>880</v>
      </c>
      <c r="D82" s="21"/>
      <c r="E82" s="22"/>
      <c r="F82" s="24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1"/>
      <c r="R82" s="21"/>
      <c r="S82" s="22"/>
      <c r="T82" s="22"/>
      <c r="U82" s="22"/>
      <c r="V82" s="22"/>
      <c r="W82" s="22"/>
      <c r="X82" s="22"/>
      <c r="Y82" s="22"/>
    </row>
    <row r="83" spans="1:25" x14ac:dyDescent="0.25">
      <c r="A83" s="68" t="s">
        <v>111</v>
      </c>
      <c r="B83" s="5" t="s">
        <v>112</v>
      </c>
      <c r="C83" s="18">
        <v>100</v>
      </c>
      <c r="D83" s="28"/>
      <c r="E83" s="20"/>
      <c r="F83" s="25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1"/>
      <c r="R83" s="21"/>
      <c r="S83" s="20"/>
      <c r="T83" s="20"/>
      <c r="U83" s="20"/>
      <c r="V83" s="20"/>
      <c r="W83" s="20"/>
      <c r="X83" s="20"/>
      <c r="Y83" s="20"/>
    </row>
    <row r="84" spans="1:25" x14ac:dyDescent="0.25">
      <c r="A84" s="71" t="s">
        <v>225</v>
      </c>
      <c r="B84" s="3" t="s">
        <v>113</v>
      </c>
      <c r="C84" s="19"/>
      <c r="D84" s="21"/>
      <c r="E84" s="22"/>
      <c r="F84" s="24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1"/>
      <c r="R84" s="21"/>
      <c r="S84" s="22"/>
      <c r="T84" s="22"/>
      <c r="U84" s="22"/>
      <c r="V84" s="22"/>
      <c r="W84" s="22"/>
      <c r="X84" s="22"/>
      <c r="Y84" s="22"/>
    </row>
    <row r="85" spans="1:25" x14ac:dyDescent="0.25">
      <c r="A85" s="71" t="s">
        <v>115</v>
      </c>
      <c r="B85" s="3" t="s">
        <v>116</v>
      </c>
      <c r="C85" s="19"/>
      <c r="D85" s="21"/>
      <c r="E85" s="22"/>
      <c r="F85" s="24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1"/>
      <c r="R85" s="21"/>
      <c r="S85" s="22"/>
      <c r="T85" s="22"/>
      <c r="U85" s="22"/>
      <c r="V85" s="22"/>
      <c r="W85" s="22"/>
      <c r="X85" s="22"/>
      <c r="Y85" s="22"/>
    </row>
    <row r="86" spans="1:25" x14ac:dyDescent="0.25">
      <c r="A86" s="71" t="s">
        <v>118</v>
      </c>
      <c r="B86" s="3" t="s">
        <v>117</v>
      </c>
      <c r="C86" s="19"/>
      <c r="D86" s="21"/>
      <c r="E86" s="22"/>
      <c r="F86" s="24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1"/>
      <c r="R86" s="21"/>
      <c r="S86" s="22"/>
      <c r="T86" s="22"/>
      <c r="U86" s="22"/>
      <c r="V86" s="22"/>
      <c r="W86" s="22"/>
      <c r="X86" s="22"/>
      <c r="Y86" s="22"/>
    </row>
    <row r="87" spans="1:25" x14ac:dyDescent="0.25">
      <c r="A87" s="68" t="s">
        <v>119</v>
      </c>
      <c r="B87" s="5" t="s">
        <v>120</v>
      </c>
      <c r="C87" s="18" t="s">
        <v>20</v>
      </c>
      <c r="D87" s="28"/>
      <c r="E87" s="20"/>
      <c r="F87" s="25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1"/>
      <c r="R87" s="21"/>
      <c r="S87" s="20"/>
      <c r="T87" s="20"/>
      <c r="U87" s="20"/>
      <c r="V87" s="20"/>
      <c r="W87" s="20"/>
      <c r="X87" s="20"/>
      <c r="Y87" s="20"/>
    </row>
    <row r="88" spans="1:25" x14ac:dyDescent="0.25">
      <c r="A88" s="71" t="s">
        <v>224</v>
      </c>
      <c r="B88" s="3" t="s">
        <v>121</v>
      </c>
      <c r="C88" s="19">
        <v>610</v>
      </c>
      <c r="D88" s="21"/>
      <c r="E88" s="25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1"/>
      <c r="R88" s="21"/>
      <c r="S88" s="22"/>
      <c r="T88" s="22"/>
      <c r="U88" s="22"/>
      <c r="V88" s="22"/>
      <c r="W88" s="22"/>
      <c r="X88" s="22"/>
      <c r="Y88" s="22"/>
    </row>
  </sheetData>
  <mergeCells count="21">
    <mergeCell ref="A1:Y1"/>
    <mergeCell ref="D2:D4"/>
    <mergeCell ref="C2:C4"/>
    <mergeCell ref="B2:B4"/>
    <mergeCell ref="A2:A4"/>
    <mergeCell ref="T3:T4"/>
    <mergeCell ref="U3:U4"/>
    <mergeCell ref="V3:V4"/>
    <mergeCell ref="W3:W4"/>
    <mergeCell ref="X3:X4"/>
    <mergeCell ref="Y3:Y4"/>
    <mergeCell ref="E2:E4"/>
    <mergeCell ref="F2:F4"/>
    <mergeCell ref="R3:R4"/>
    <mergeCell ref="G2:R2"/>
    <mergeCell ref="G3:L3"/>
    <mergeCell ref="S2:S4"/>
    <mergeCell ref="T2:Y2"/>
    <mergeCell ref="M3:N3"/>
    <mergeCell ref="P3:P4"/>
    <mergeCell ref="O3:O4"/>
  </mergeCells>
  <pageMargins left="0.2" right="0.19685039370078741" top="0.27559055118110237" bottom="0.31496062992125984" header="0.23622047244094491" footer="0.31496062992125984"/>
  <pageSetup paperSize="9" scale="42" fitToHeight="2" orientation="landscape" r:id="rId1"/>
  <rowBreaks count="1" manualBreakCount="1">
    <brk id="40" max="2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88"/>
  <sheetViews>
    <sheetView view="pageBreakPreview" topLeftCell="B42" zoomScale="59" zoomScaleNormal="62" zoomScaleSheetLayoutView="59" workbookViewId="0">
      <selection activeCell="U81" sqref="U81"/>
    </sheetView>
  </sheetViews>
  <sheetFormatPr defaultColWidth="9.140625" defaultRowHeight="15" x14ac:dyDescent="0.25"/>
  <cols>
    <col min="1" max="1" width="74.5703125" style="34" customWidth="1"/>
    <col min="2" max="2" width="9.140625" style="4"/>
    <col min="3" max="3" width="14.5703125" style="35" customWidth="1"/>
    <col min="4" max="4" width="9.42578125" style="36" customWidth="1"/>
    <col min="5" max="5" width="14.85546875" style="113" customWidth="1"/>
    <col min="6" max="6" width="17.5703125" style="114" customWidth="1"/>
    <col min="7" max="7" width="18.42578125" style="36" customWidth="1"/>
    <col min="8" max="8" width="16.7109375" style="36" customWidth="1"/>
    <col min="9" max="9" width="14.42578125" style="36" customWidth="1"/>
    <col min="10" max="10" width="15.85546875" style="36" customWidth="1"/>
    <col min="11" max="11" width="16.42578125" style="36" customWidth="1"/>
    <col min="12" max="12" width="12.28515625" style="36" customWidth="1"/>
    <col min="13" max="13" width="17.140625" style="36" hidden="1" customWidth="1"/>
    <col min="14" max="14" width="15" style="36" hidden="1" customWidth="1"/>
    <col min="15" max="15" width="15" style="36" customWidth="1"/>
    <col min="16" max="16" width="13.85546875" style="36" customWidth="1"/>
    <col min="17" max="17" width="16" style="36" hidden="1" customWidth="1"/>
    <col min="18" max="18" width="18.7109375" style="36" customWidth="1"/>
    <col min="19" max="19" width="10.5703125" style="36" customWidth="1"/>
    <col min="20" max="20" width="18.140625" style="36" customWidth="1"/>
    <col min="21" max="21" width="15.140625" style="36" customWidth="1"/>
    <col min="22" max="22" width="11.85546875" style="17" customWidth="1"/>
    <col min="23" max="23" width="12.7109375" style="17" customWidth="1"/>
    <col min="24" max="24" width="11.140625" style="17" customWidth="1"/>
    <col min="25" max="25" width="9.140625" style="17" hidden="1" customWidth="1"/>
    <col min="26" max="16384" width="9.140625" style="17"/>
  </cols>
  <sheetData>
    <row r="1" spans="1:25" ht="31.9" customHeight="1" x14ac:dyDescent="0.25">
      <c r="A1" s="274" t="s">
        <v>296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  <c r="S1" s="274"/>
      <c r="T1" s="274"/>
      <c r="U1" s="274"/>
    </row>
    <row r="2" spans="1:25" s="67" customFormat="1" ht="33.75" customHeight="1" x14ac:dyDescent="0.25">
      <c r="A2" s="275" t="s">
        <v>11</v>
      </c>
      <c r="B2" s="276" t="s">
        <v>12</v>
      </c>
      <c r="C2" s="275" t="s">
        <v>13</v>
      </c>
      <c r="D2" s="275" t="s">
        <v>14</v>
      </c>
      <c r="E2" s="264" t="s">
        <v>196</v>
      </c>
      <c r="F2" s="278" t="s">
        <v>165</v>
      </c>
      <c r="G2" s="264" t="s">
        <v>167</v>
      </c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 t="s">
        <v>168</v>
      </c>
      <c r="T2" s="264" t="s">
        <v>199</v>
      </c>
      <c r="U2" s="264"/>
      <c r="V2" s="264"/>
      <c r="W2" s="264"/>
      <c r="X2" s="264"/>
      <c r="Y2" s="264"/>
    </row>
    <row r="3" spans="1:25" s="67" customFormat="1" ht="61.5" customHeight="1" x14ac:dyDescent="0.25">
      <c r="A3" s="275"/>
      <c r="B3" s="276"/>
      <c r="C3" s="275"/>
      <c r="D3" s="275"/>
      <c r="E3" s="264"/>
      <c r="F3" s="278"/>
      <c r="G3" s="271" t="s">
        <v>258</v>
      </c>
      <c r="H3" s="271"/>
      <c r="I3" s="271"/>
      <c r="J3" s="271"/>
      <c r="K3" s="271"/>
      <c r="L3" s="271"/>
      <c r="M3" s="270" t="s">
        <v>221</v>
      </c>
      <c r="N3" s="270"/>
      <c r="O3" s="272" t="s">
        <v>283</v>
      </c>
      <c r="P3" s="271" t="s">
        <v>219</v>
      </c>
      <c r="Q3" s="199"/>
      <c r="R3" s="278" t="s">
        <v>287</v>
      </c>
      <c r="S3" s="264"/>
      <c r="T3" s="277" t="s">
        <v>206</v>
      </c>
      <c r="U3" s="271" t="s">
        <v>174</v>
      </c>
      <c r="V3" s="271" t="s">
        <v>207</v>
      </c>
      <c r="W3" s="271" t="s">
        <v>208</v>
      </c>
      <c r="X3" s="271" t="s">
        <v>209</v>
      </c>
      <c r="Y3" s="271" t="s">
        <v>220</v>
      </c>
    </row>
    <row r="4" spans="1:25" s="67" customFormat="1" ht="309.75" customHeight="1" x14ac:dyDescent="0.25">
      <c r="A4" s="275"/>
      <c r="B4" s="276"/>
      <c r="C4" s="275"/>
      <c r="D4" s="275"/>
      <c r="E4" s="264"/>
      <c r="F4" s="278"/>
      <c r="G4" s="200" t="s">
        <v>216</v>
      </c>
      <c r="H4" s="200" t="s">
        <v>217</v>
      </c>
      <c r="I4" s="200" t="s">
        <v>218</v>
      </c>
      <c r="J4" s="201" t="s">
        <v>257</v>
      </c>
      <c r="K4" s="201" t="s">
        <v>284</v>
      </c>
      <c r="L4" s="201" t="s">
        <v>286</v>
      </c>
      <c r="M4" s="202" t="s">
        <v>256</v>
      </c>
      <c r="N4" s="202" t="s">
        <v>222</v>
      </c>
      <c r="O4" s="273"/>
      <c r="P4" s="271"/>
      <c r="Q4" s="203"/>
      <c r="R4" s="278"/>
      <c r="S4" s="264"/>
      <c r="T4" s="277"/>
      <c r="U4" s="271"/>
      <c r="V4" s="271"/>
      <c r="W4" s="271"/>
      <c r="X4" s="271"/>
      <c r="Y4" s="271"/>
    </row>
    <row r="5" spans="1:25" s="220" customFormat="1" ht="12.75" x14ac:dyDescent="0.25">
      <c r="A5" s="213">
        <v>1</v>
      </c>
      <c r="B5" s="214">
        <v>2</v>
      </c>
      <c r="C5" s="215">
        <v>3</v>
      </c>
      <c r="D5" s="215">
        <v>4</v>
      </c>
      <c r="E5" s="215">
        <v>5</v>
      </c>
      <c r="F5" s="217">
        <v>6</v>
      </c>
      <c r="G5" s="215">
        <v>7</v>
      </c>
      <c r="H5" s="215">
        <v>8</v>
      </c>
      <c r="I5" s="215">
        <v>9</v>
      </c>
      <c r="J5" s="215">
        <v>10</v>
      </c>
      <c r="K5" s="215">
        <v>11</v>
      </c>
      <c r="L5" s="215">
        <v>12</v>
      </c>
      <c r="M5" s="215"/>
      <c r="N5" s="215"/>
      <c r="O5" s="215">
        <v>13</v>
      </c>
      <c r="P5" s="215">
        <v>14</v>
      </c>
      <c r="Q5" s="218"/>
      <c r="R5" s="215">
        <v>15</v>
      </c>
      <c r="S5" s="215">
        <v>16</v>
      </c>
      <c r="T5" s="215">
        <v>17</v>
      </c>
      <c r="U5" s="215">
        <v>18</v>
      </c>
      <c r="V5" s="215">
        <v>19</v>
      </c>
      <c r="W5" s="215">
        <v>20</v>
      </c>
      <c r="X5" s="215">
        <v>21</v>
      </c>
      <c r="Y5" s="219">
        <v>18</v>
      </c>
    </row>
    <row r="6" spans="1:25" x14ac:dyDescent="0.25">
      <c r="A6" s="89" t="s">
        <v>18</v>
      </c>
      <c r="B6" s="85" t="s">
        <v>19</v>
      </c>
      <c r="C6" s="57" t="s">
        <v>20</v>
      </c>
      <c r="D6" s="57" t="s">
        <v>20</v>
      </c>
      <c r="E6" s="25">
        <f>F6+G6+H6+I6+M6+N6+P6+J6+S6+T6+U6+V6+W6+X6+Y6</f>
        <v>0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150"/>
      <c r="R6" s="150"/>
      <c r="S6" s="25"/>
      <c r="T6" s="25"/>
      <c r="U6" s="25"/>
      <c r="V6" s="25"/>
      <c r="W6" s="25"/>
      <c r="X6" s="25"/>
      <c r="Y6" s="25"/>
    </row>
    <row r="7" spans="1:25" s="110" customFormat="1" ht="21" customHeight="1" x14ac:dyDescent="0.25">
      <c r="A7" s="68" t="s">
        <v>21</v>
      </c>
      <c r="B7" s="5" t="s">
        <v>22</v>
      </c>
      <c r="C7" s="18" t="s">
        <v>20</v>
      </c>
      <c r="D7" s="18" t="s">
        <v>20</v>
      </c>
      <c r="E7" s="20">
        <f>+E6+E8-E33</f>
        <v>0</v>
      </c>
      <c r="F7" s="25">
        <f>+F6+F8-F33</f>
        <v>0</v>
      </c>
      <c r="G7" s="20">
        <f>+G6+G8-G33</f>
        <v>0</v>
      </c>
      <c r="H7" s="20">
        <f t="shared" ref="H7:Y7" si="0">+H6+H8-H33</f>
        <v>0</v>
      </c>
      <c r="I7" s="20">
        <f t="shared" si="0"/>
        <v>0</v>
      </c>
      <c r="J7" s="20">
        <f t="shared" si="0"/>
        <v>0</v>
      </c>
      <c r="K7" s="20">
        <f t="shared" si="0"/>
        <v>0</v>
      </c>
      <c r="L7" s="20">
        <f t="shared" si="0"/>
        <v>0</v>
      </c>
      <c r="M7" s="20">
        <f t="shared" si="0"/>
        <v>0</v>
      </c>
      <c r="N7" s="20">
        <f>+N6+N8-N33</f>
        <v>0</v>
      </c>
      <c r="O7" s="20">
        <f>+O6+O8-O33</f>
        <v>0</v>
      </c>
      <c r="P7" s="20">
        <f t="shared" si="0"/>
        <v>0</v>
      </c>
      <c r="Q7" s="20">
        <f t="shared" si="0"/>
        <v>0</v>
      </c>
      <c r="R7" s="20">
        <f t="shared" si="0"/>
        <v>0</v>
      </c>
      <c r="S7" s="20">
        <f t="shared" si="0"/>
        <v>0</v>
      </c>
      <c r="T7" s="20">
        <f t="shared" si="0"/>
        <v>0</v>
      </c>
      <c r="U7" s="20">
        <f t="shared" si="0"/>
        <v>0</v>
      </c>
      <c r="V7" s="20">
        <f t="shared" si="0"/>
        <v>0</v>
      </c>
      <c r="W7" s="20">
        <f t="shared" si="0"/>
        <v>0</v>
      </c>
      <c r="X7" s="20">
        <f t="shared" si="0"/>
        <v>0</v>
      </c>
      <c r="Y7" s="20">
        <f t="shared" si="0"/>
        <v>0</v>
      </c>
    </row>
    <row r="8" spans="1:25" s="26" customFormat="1" x14ac:dyDescent="0.25">
      <c r="A8" s="96" t="s">
        <v>23</v>
      </c>
      <c r="B8" s="97" t="s">
        <v>29</v>
      </c>
      <c r="C8" s="98"/>
      <c r="D8" s="108"/>
      <c r="E8" s="109">
        <f>+E9+E11+E15+E18+E20+E27</f>
        <v>48855247.5</v>
      </c>
      <c r="F8" s="109">
        <f>+F9+F11+F15+F18+F20+F27</f>
        <v>42289628</v>
      </c>
      <c r="G8" s="109">
        <f t="shared" ref="G8:Y8" si="1">+G9+G11+G15+G18+G20+G27</f>
        <v>834216</v>
      </c>
      <c r="H8" s="109">
        <f t="shared" si="1"/>
        <v>0</v>
      </c>
      <c r="I8" s="109">
        <f t="shared" si="1"/>
        <v>0</v>
      </c>
      <c r="J8" s="109">
        <f t="shared" si="1"/>
        <v>3175200</v>
      </c>
      <c r="K8" s="109">
        <f t="shared" si="1"/>
        <v>0</v>
      </c>
      <c r="L8" s="109">
        <f t="shared" si="1"/>
        <v>0</v>
      </c>
      <c r="M8" s="109">
        <f t="shared" si="1"/>
        <v>0</v>
      </c>
      <c r="N8" s="109">
        <f t="shared" si="1"/>
        <v>0</v>
      </c>
      <c r="O8" s="109">
        <f>+O9+O11+O15+O18+O20+O27</f>
        <v>28367</v>
      </c>
      <c r="P8" s="109">
        <f t="shared" si="1"/>
        <v>0</v>
      </c>
      <c r="Q8" s="109">
        <f t="shared" si="1"/>
        <v>0</v>
      </c>
      <c r="R8" s="109">
        <f t="shared" si="1"/>
        <v>594236.5</v>
      </c>
      <c r="S8" s="109">
        <f t="shared" si="1"/>
        <v>0</v>
      </c>
      <c r="T8" s="109">
        <f>+T9+T11+T15+T18+T20+T27</f>
        <v>0</v>
      </c>
      <c r="U8" s="109">
        <f t="shared" ref="U8:W8" si="2">+U9+U11+U15+U18+U20+U27</f>
        <v>1213600</v>
      </c>
      <c r="V8" s="109">
        <f>+V9+V11+V15+V18+V20+V27</f>
        <v>400000</v>
      </c>
      <c r="W8" s="109">
        <f t="shared" si="2"/>
        <v>320000</v>
      </c>
      <c r="X8" s="109">
        <f>X9+X11+X15+X20+X25+X27</f>
        <v>0</v>
      </c>
      <c r="Y8" s="109">
        <f t="shared" si="1"/>
        <v>0</v>
      </c>
    </row>
    <row r="9" spans="1:25" s="26" customFormat="1" ht="30" x14ac:dyDescent="0.25">
      <c r="A9" s="91" t="s">
        <v>254</v>
      </c>
      <c r="B9" s="87" t="s">
        <v>31</v>
      </c>
      <c r="C9" s="23">
        <v>120</v>
      </c>
      <c r="D9" s="27"/>
      <c r="E9" s="24">
        <f>V9+W9</f>
        <v>720000</v>
      </c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150"/>
      <c r="R9" s="150"/>
      <c r="S9" s="24"/>
      <c r="T9" s="24"/>
      <c r="U9" s="24"/>
      <c r="V9" s="24">
        <f>V33</f>
        <v>400000</v>
      </c>
      <c r="W9" s="24">
        <f>W33</f>
        <v>320000</v>
      </c>
      <c r="X9" s="24"/>
      <c r="Y9" s="24"/>
    </row>
    <row r="10" spans="1:25" s="44" customFormat="1" x14ac:dyDescent="0.25">
      <c r="A10" s="66" t="s">
        <v>24</v>
      </c>
      <c r="B10" s="3" t="s">
        <v>32</v>
      </c>
      <c r="C10" s="19"/>
      <c r="D10" s="21"/>
      <c r="E10" s="22"/>
      <c r="F10" s="24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150"/>
      <c r="R10" s="150"/>
      <c r="S10" s="22"/>
      <c r="T10" s="22"/>
      <c r="U10" s="22"/>
      <c r="V10" s="22"/>
      <c r="W10" s="22"/>
      <c r="X10" s="22"/>
      <c r="Y10" s="22"/>
    </row>
    <row r="11" spans="1:25" s="26" customFormat="1" ht="28.5" x14ac:dyDescent="0.25">
      <c r="A11" s="93" t="s">
        <v>25</v>
      </c>
      <c r="B11" s="86" t="s">
        <v>33</v>
      </c>
      <c r="C11" s="37">
        <v>130</v>
      </c>
      <c r="D11" s="38"/>
      <c r="E11" s="39">
        <f>+E12+E13+E14</f>
        <v>43503228</v>
      </c>
      <c r="F11" s="39">
        <f t="shared" ref="F11:Y11" si="3">+F12+F13+F14</f>
        <v>42289628</v>
      </c>
      <c r="G11" s="39">
        <f t="shared" si="3"/>
        <v>0</v>
      </c>
      <c r="H11" s="39">
        <f t="shared" si="3"/>
        <v>0</v>
      </c>
      <c r="I11" s="39">
        <f t="shared" si="3"/>
        <v>0</v>
      </c>
      <c r="J11" s="39">
        <f t="shared" si="3"/>
        <v>0</v>
      </c>
      <c r="K11" s="39">
        <f t="shared" si="3"/>
        <v>0</v>
      </c>
      <c r="L11" s="39">
        <f t="shared" si="3"/>
        <v>0</v>
      </c>
      <c r="M11" s="39">
        <f t="shared" si="3"/>
        <v>0</v>
      </c>
      <c r="N11" s="39">
        <f t="shared" si="3"/>
        <v>0</v>
      </c>
      <c r="O11" s="39">
        <f>+O12+O13+O14</f>
        <v>0</v>
      </c>
      <c r="P11" s="39">
        <f t="shared" si="3"/>
        <v>0</v>
      </c>
      <c r="Q11" s="39">
        <f t="shared" si="3"/>
        <v>0</v>
      </c>
      <c r="R11" s="39">
        <f t="shared" si="3"/>
        <v>0</v>
      </c>
      <c r="S11" s="39">
        <f t="shared" si="3"/>
        <v>0</v>
      </c>
      <c r="T11" s="39">
        <f t="shared" si="3"/>
        <v>0</v>
      </c>
      <c r="U11" s="39">
        <f t="shared" si="3"/>
        <v>1213600</v>
      </c>
      <c r="V11" s="39">
        <f t="shared" si="3"/>
        <v>0</v>
      </c>
      <c r="W11" s="39">
        <f t="shared" si="3"/>
        <v>0</v>
      </c>
      <c r="X11" s="39">
        <f t="shared" si="3"/>
        <v>0</v>
      </c>
      <c r="Y11" s="39">
        <f t="shared" si="3"/>
        <v>0</v>
      </c>
    </row>
    <row r="12" spans="1:25" ht="60" x14ac:dyDescent="0.25">
      <c r="A12" s="94" t="s">
        <v>34</v>
      </c>
      <c r="B12" s="87" t="s">
        <v>35</v>
      </c>
      <c r="C12" s="23">
        <v>130</v>
      </c>
      <c r="D12" s="27"/>
      <c r="E12" s="24">
        <f>F12</f>
        <v>42289628</v>
      </c>
      <c r="F12" s="24">
        <f>F33-F6</f>
        <v>42289628</v>
      </c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150"/>
      <c r="R12" s="150"/>
      <c r="S12" s="24"/>
      <c r="T12" s="24"/>
      <c r="U12" s="24"/>
      <c r="V12" s="24"/>
      <c r="W12" s="24"/>
      <c r="X12" s="24"/>
      <c r="Y12" s="24"/>
    </row>
    <row r="13" spans="1:25" s="26" customFormat="1" ht="45" x14ac:dyDescent="0.25">
      <c r="A13" s="142" t="s">
        <v>26</v>
      </c>
      <c r="B13" s="103" t="s">
        <v>36</v>
      </c>
      <c r="C13" s="104">
        <v>130</v>
      </c>
      <c r="D13" s="106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52"/>
      <c r="R13" s="152"/>
      <c r="S13" s="107"/>
      <c r="T13" s="107"/>
      <c r="U13" s="107"/>
      <c r="V13" s="107"/>
      <c r="W13" s="107"/>
      <c r="X13" s="107"/>
      <c r="Y13" s="107"/>
    </row>
    <row r="14" spans="1:25" ht="17.25" customHeight="1" x14ac:dyDescent="0.25">
      <c r="A14" s="94" t="s">
        <v>210</v>
      </c>
      <c r="B14" s="87" t="s">
        <v>205</v>
      </c>
      <c r="C14" s="23">
        <v>130</v>
      </c>
      <c r="D14" s="27"/>
      <c r="E14" s="24">
        <f>T14+U14</f>
        <v>1213600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150"/>
      <c r="R14" s="150"/>
      <c r="S14" s="24"/>
      <c r="T14" s="24">
        <f>T33-T6</f>
        <v>0</v>
      </c>
      <c r="U14" s="24">
        <f>U33-U6</f>
        <v>1213600</v>
      </c>
      <c r="V14" s="24"/>
      <c r="W14" s="24"/>
      <c r="X14" s="24"/>
      <c r="Y14" s="24"/>
    </row>
    <row r="15" spans="1:25" ht="28.5" x14ac:dyDescent="0.25">
      <c r="A15" s="68" t="s">
        <v>27</v>
      </c>
      <c r="B15" s="5" t="s">
        <v>37</v>
      </c>
      <c r="C15" s="18">
        <v>140</v>
      </c>
      <c r="D15" s="28"/>
      <c r="E15" s="20">
        <f>+E16+E17</f>
        <v>0</v>
      </c>
      <c r="F15" s="25">
        <f>+F16+F17</f>
        <v>0</v>
      </c>
      <c r="G15" s="20">
        <f t="shared" ref="G15:Y15" si="4">+G16+G17</f>
        <v>0</v>
      </c>
      <c r="H15" s="20">
        <f t="shared" si="4"/>
        <v>0</v>
      </c>
      <c r="I15" s="20">
        <f t="shared" si="4"/>
        <v>0</v>
      </c>
      <c r="J15" s="20">
        <f t="shared" si="4"/>
        <v>0</v>
      </c>
      <c r="K15" s="20">
        <f t="shared" si="4"/>
        <v>0</v>
      </c>
      <c r="L15" s="20">
        <f t="shared" si="4"/>
        <v>0</v>
      </c>
      <c r="M15" s="20">
        <f t="shared" si="4"/>
        <v>0</v>
      </c>
      <c r="N15" s="20">
        <f t="shared" si="4"/>
        <v>0</v>
      </c>
      <c r="O15" s="20">
        <f>+O16+O17</f>
        <v>0</v>
      </c>
      <c r="P15" s="20">
        <f t="shared" si="4"/>
        <v>0</v>
      </c>
      <c r="Q15" s="20">
        <f t="shared" si="4"/>
        <v>0</v>
      </c>
      <c r="R15" s="20">
        <f t="shared" si="4"/>
        <v>0</v>
      </c>
      <c r="S15" s="20">
        <f t="shared" si="4"/>
        <v>0</v>
      </c>
      <c r="T15" s="20">
        <f t="shared" si="4"/>
        <v>0</v>
      </c>
      <c r="U15" s="20">
        <f t="shared" si="4"/>
        <v>0</v>
      </c>
      <c r="V15" s="20">
        <f t="shared" si="4"/>
        <v>0</v>
      </c>
      <c r="W15" s="20">
        <f t="shared" si="4"/>
        <v>0</v>
      </c>
      <c r="X15" s="20">
        <f t="shared" si="4"/>
        <v>0</v>
      </c>
      <c r="Y15" s="20">
        <f t="shared" si="4"/>
        <v>0</v>
      </c>
    </row>
    <row r="16" spans="1:25" ht="15" hidden="1" customHeight="1" x14ac:dyDescent="0.25">
      <c r="A16" s="71" t="s">
        <v>24</v>
      </c>
      <c r="B16" s="3" t="s">
        <v>38</v>
      </c>
      <c r="C16" s="19">
        <v>140</v>
      </c>
      <c r="D16" s="21"/>
      <c r="E16" s="22"/>
      <c r="F16" s="24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1"/>
      <c r="R16" s="21"/>
      <c r="S16" s="22"/>
      <c r="T16" s="22"/>
      <c r="U16" s="22"/>
      <c r="V16" s="22"/>
      <c r="W16" s="22"/>
      <c r="X16" s="22"/>
      <c r="Y16" s="22"/>
    </row>
    <row r="17" spans="1:25" s="26" customFormat="1" ht="15" hidden="1" customHeight="1" x14ac:dyDescent="0.25">
      <c r="A17" s="66"/>
      <c r="B17" s="3"/>
      <c r="C17" s="19"/>
      <c r="D17" s="21"/>
      <c r="E17" s="22"/>
      <c r="F17" s="24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1"/>
      <c r="R17" s="21"/>
      <c r="S17" s="22"/>
      <c r="T17" s="22"/>
      <c r="U17" s="22"/>
      <c r="V17" s="22"/>
      <c r="W17" s="22"/>
      <c r="X17" s="22"/>
      <c r="Y17" s="22"/>
    </row>
    <row r="18" spans="1:25" ht="15" hidden="1" customHeight="1" x14ac:dyDescent="0.25">
      <c r="A18" s="199"/>
      <c r="B18" s="203"/>
      <c r="C18" s="203"/>
      <c r="D18" s="58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1"/>
      <c r="R18" s="21"/>
      <c r="S18" s="25"/>
      <c r="T18" s="25"/>
      <c r="U18" s="25"/>
      <c r="V18" s="25"/>
      <c r="W18" s="25"/>
      <c r="X18" s="25"/>
      <c r="Y18" s="25"/>
    </row>
    <row r="19" spans="1:25" s="44" customFormat="1" ht="15" hidden="1" customHeight="1" x14ac:dyDescent="0.25">
      <c r="A19" s="66"/>
      <c r="B19" s="3"/>
      <c r="C19" s="19"/>
      <c r="D19" s="21"/>
      <c r="E19" s="22"/>
      <c r="F19" s="24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1"/>
      <c r="R19" s="21"/>
      <c r="S19" s="22"/>
      <c r="T19" s="22"/>
      <c r="U19" s="22"/>
      <c r="V19" s="22"/>
      <c r="W19" s="22"/>
      <c r="X19" s="22"/>
      <c r="Y19" s="22"/>
    </row>
    <row r="20" spans="1:25" s="26" customFormat="1" x14ac:dyDescent="0.25">
      <c r="A20" s="90" t="s">
        <v>28</v>
      </c>
      <c r="B20" s="86" t="s">
        <v>39</v>
      </c>
      <c r="C20" s="37">
        <v>150</v>
      </c>
      <c r="D20" s="38"/>
      <c r="E20" s="39">
        <f>E21+E23+E24</f>
        <v>4632019.5</v>
      </c>
      <c r="F20" s="39">
        <f t="shared" ref="F20:Y20" si="5">F21+F23+F24</f>
        <v>0</v>
      </c>
      <c r="G20" s="39">
        <f t="shared" si="5"/>
        <v>834216</v>
      </c>
      <c r="H20" s="39">
        <f t="shared" si="5"/>
        <v>0</v>
      </c>
      <c r="I20" s="39">
        <f t="shared" si="5"/>
        <v>0</v>
      </c>
      <c r="J20" s="39">
        <f>J21+J23+J24</f>
        <v>3175200</v>
      </c>
      <c r="K20" s="39">
        <f>K21+K23+K24</f>
        <v>0</v>
      </c>
      <c r="L20" s="39">
        <f>L21+L23+L24</f>
        <v>0</v>
      </c>
      <c r="M20" s="39">
        <f t="shared" si="5"/>
        <v>0</v>
      </c>
      <c r="N20" s="39">
        <f t="shared" si="5"/>
        <v>0</v>
      </c>
      <c r="O20" s="39">
        <f>O21+O23+O24</f>
        <v>28367</v>
      </c>
      <c r="P20" s="39">
        <f t="shared" si="5"/>
        <v>0</v>
      </c>
      <c r="Q20" s="39">
        <f t="shared" si="5"/>
        <v>0</v>
      </c>
      <c r="R20" s="39">
        <f t="shared" si="5"/>
        <v>594236.5</v>
      </c>
      <c r="S20" s="39">
        <f t="shared" si="5"/>
        <v>0</v>
      </c>
      <c r="T20" s="39">
        <f t="shared" si="5"/>
        <v>0</v>
      </c>
      <c r="U20" s="39">
        <f t="shared" si="5"/>
        <v>0</v>
      </c>
      <c r="V20" s="39">
        <f t="shared" si="5"/>
        <v>0</v>
      </c>
      <c r="W20" s="39">
        <f t="shared" si="5"/>
        <v>0</v>
      </c>
      <c r="X20" s="39">
        <f t="shared" si="5"/>
        <v>0</v>
      </c>
      <c r="Y20" s="39">
        <f t="shared" si="5"/>
        <v>0</v>
      </c>
    </row>
    <row r="21" spans="1:25" ht="33.75" customHeight="1" x14ac:dyDescent="0.25">
      <c r="A21" s="94" t="s">
        <v>48</v>
      </c>
      <c r="B21" s="87" t="s">
        <v>227</v>
      </c>
      <c r="C21" s="23">
        <v>150</v>
      </c>
      <c r="D21" s="27"/>
      <c r="E21" s="24">
        <f>F21+G21+H21+I21+J21+O21+K21+L21+P21+R21</f>
        <v>4632019.5</v>
      </c>
      <c r="F21" s="24">
        <f>+F22+F23+F24</f>
        <v>0</v>
      </c>
      <c r="G21" s="24">
        <f>G33</f>
        <v>834216</v>
      </c>
      <c r="H21" s="24">
        <f t="shared" ref="H21:R21" si="6">H33</f>
        <v>0</v>
      </c>
      <c r="I21" s="24">
        <f t="shared" si="6"/>
        <v>0</v>
      </c>
      <c r="J21" s="24">
        <f t="shared" si="6"/>
        <v>3175200</v>
      </c>
      <c r="K21" s="24">
        <f t="shared" si="6"/>
        <v>0</v>
      </c>
      <c r="L21" s="24">
        <f t="shared" si="6"/>
        <v>0</v>
      </c>
      <c r="M21" s="24">
        <f t="shared" si="6"/>
        <v>0</v>
      </c>
      <c r="N21" s="24">
        <f t="shared" si="6"/>
        <v>0</v>
      </c>
      <c r="O21" s="24">
        <f>O33</f>
        <v>28367</v>
      </c>
      <c r="P21" s="24">
        <f t="shared" si="6"/>
        <v>0</v>
      </c>
      <c r="Q21" s="24">
        <f t="shared" si="6"/>
        <v>0</v>
      </c>
      <c r="R21" s="24">
        <f t="shared" si="6"/>
        <v>594236.5</v>
      </c>
      <c r="S21" s="24"/>
      <c r="T21" s="24"/>
      <c r="U21" s="24"/>
      <c r="V21" s="24"/>
      <c r="W21" s="24"/>
      <c r="X21" s="24"/>
      <c r="Y21" s="24"/>
    </row>
    <row r="22" spans="1:25" ht="15" hidden="1" customHeight="1" x14ac:dyDescent="0.25">
      <c r="A22" s="71"/>
      <c r="B22" s="3"/>
      <c r="C22" s="19"/>
      <c r="D22" s="21"/>
      <c r="E22" s="22"/>
      <c r="F22" s="24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03"/>
      <c r="R22" s="203"/>
      <c r="S22" s="22"/>
      <c r="T22" s="22"/>
      <c r="U22" s="22"/>
      <c r="V22" s="22"/>
      <c r="W22" s="22"/>
      <c r="X22" s="22"/>
      <c r="Y22" s="22"/>
    </row>
    <row r="23" spans="1:25" s="26" customFormat="1" x14ac:dyDescent="0.25">
      <c r="A23" s="71" t="s">
        <v>42</v>
      </c>
      <c r="B23" s="3" t="s">
        <v>228</v>
      </c>
      <c r="C23" s="19">
        <v>150</v>
      </c>
      <c r="D23" s="21"/>
      <c r="E23" s="22"/>
      <c r="F23" s="24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03"/>
      <c r="R23" s="203"/>
      <c r="S23" s="22"/>
      <c r="T23" s="22"/>
      <c r="U23" s="22"/>
      <c r="V23" s="22"/>
      <c r="W23" s="22"/>
      <c r="X23" s="22"/>
      <c r="Y23" s="22"/>
    </row>
    <row r="24" spans="1:25" s="26" customFormat="1" ht="30" x14ac:dyDescent="0.25">
      <c r="A24" s="94" t="s">
        <v>229</v>
      </c>
      <c r="B24" s="87" t="s">
        <v>230</v>
      </c>
      <c r="C24" s="23">
        <v>150</v>
      </c>
      <c r="D24" s="27"/>
      <c r="E24" s="24">
        <f>X24+Y24</f>
        <v>0</v>
      </c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150"/>
      <c r="R24" s="150"/>
      <c r="S24" s="24"/>
      <c r="T24" s="24"/>
      <c r="U24" s="24"/>
      <c r="V24" s="24"/>
      <c r="W24" s="24"/>
      <c r="X24" s="24">
        <f>X33</f>
        <v>0</v>
      </c>
      <c r="Y24" s="24">
        <f>Y33</f>
        <v>0</v>
      </c>
    </row>
    <row r="25" spans="1:25" s="26" customFormat="1" ht="15" hidden="1" customHeight="1" x14ac:dyDescent="0.25">
      <c r="A25" s="68" t="s">
        <v>40</v>
      </c>
      <c r="B25" s="5" t="s">
        <v>41</v>
      </c>
      <c r="C25" s="18">
        <v>180</v>
      </c>
      <c r="D25" s="27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03"/>
      <c r="R25" s="203"/>
      <c r="S25" s="24"/>
      <c r="T25" s="24"/>
      <c r="U25" s="24"/>
      <c r="V25" s="24"/>
      <c r="W25" s="24"/>
      <c r="X25" s="24"/>
      <c r="Y25" s="24"/>
    </row>
    <row r="26" spans="1:25" ht="15" hidden="1" customHeight="1" x14ac:dyDescent="0.25">
      <c r="A26" s="71"/>
      <c r="B26" s="3"/>
      <c r="C26" s="19"/>
      <c r="D26" s="24"/>
      <c r="E26" s="25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1"/>
      <c r="R26" s="21"/>
      <c r="S26" s="24"/>
      <c r="T26" s="24"/>
      <c r="U26" s="24"/>
      <c r="V26" s="24"/>
      <c r="W26" s="24"/>
      <c r="X26" s="24"/>
      <c r="Y26" s="24"/>
    </row>
    <row r="27" spans="1:25" ht="28.5" x14ac:dyDescent="0.25">
      <c r="A27" s="68" t="s">
        <v>43</v>
      </c>
      <c r="B27" s="5" t="s">
        <v>44</v>
      </c>
      <c r="C27" s="18"/>
      <c r="D27" s="28"/>
      <c r="E27" s="20"/>
      <c r="F27" s="25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1"/>
      <c r="R27" s="21"/>
      <c r="S27" s="20"/>
      <c r="T27" s="20"/>
      <c r="U27" s="20"/>
      <c r="V27" s="20"/>
      <c r="W27" s="20"/>
      <c r="X27" s="20"/>
      <c r="Y27" s="20"/>
    </row>
    <row r="28" spans="1:25" ht="15" hidden="1" customHeight="1" x14ac:dyDescent="0.25">
      <c r="A28" s="66" t="s">
        <v>24</v>
      </c>
      <c r="B28" s="3"/>
      <c r="C28" s="19"/>
      <c r="D28" s="21"/>
      <c r="E28" s="22"/>
      <c r="F28" s="24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1"/>
      <c r="R28" s="21"/>
      <c r="S28" s="22"/>
      <c r="T28" s="22"/>
      <c r="U28" s="22"/>
      <c r="V28" s="22"/>
      <c r="W28" s="22"/>
      <c r="X28" s="22"/>
      <c r="Y28" s="22"/>
    </row>
    <row r="29" spans="1:25" ht="15" hidden="1" customHeight="1" x14ac:dyDescent="0.25">
      <c r="A29" s="66"/>
      <c r="B29" s="3"/>
      <c r="C29" s="19"/>
      <c r="D29" s="21"/>
      <c r="E29" s="22"/>
      <c r="F29" s="24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1"/>
      <c r="R29" s="21"/>
      <c r="S29" s="22"/>
      <c r="T29" s="22"/>
      <c r="U29" s="22"/>
      <c r="V29" s="22"/>
      <c r="W29" s="22"/>
      <c r="X29" s="22"/>
      <c r="Y29" s="22"/>
    </row>
    <row r="30" spans="1:25" ht="21" customHeight="1" x14ac:dyDescent="0.25">
      <c r="A30" s="66" t="s">
        <v>45</v>
      </c>
      <c r="B30" s="3" t="s">
        <v>46</v>
      </c>
      <c r="C30" s="19" t="s">
        <v>20</v>
      </c>
      <c r="D30" s="21"/>
      <c r="E30" s="22"/>
      <c r="F30" s="24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1"/>
      <c r="R30" s="21"/>
      <c r="S30" s="22"/>
      <c r="T30" s="22"/>
      <c r="U30" s="22"/>
      <c r="V30" s="22"/>
      <c r="W30" s="22"/>
      <c r="X30" s="22"/>
      <c r="Y30" s="22"/>
    </row>
    <row r="31" spans="1:25" ht="18" hidden="1" customHeight="1" x14ac:dyDescent="0.25">
      <c r="A31" s="92" t="s">
        <v>278</v>
      </c>
      <c r="B31" s="3" t="s">
        <v>47</v>
      </c>
      <c r="C31" s="19">
        <v>510</v>
      </c>
      <c r="D31" s="21"/>
      <c r="E31" s="22"/>
      <c r="F31" s="24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1"/>
      <c r="R31" s="21"/>
      <c r="S31" s="22"/>
      <c r="T31" s="22"/>
      <c r="U31" s="22"/>
      <c r="V31" s="22"/>
      <c r="W31" s="22"/>
      <c r="X31" s="22"/>
      <c r="Y31" s="22"/>
    </row>
    <row r="32" spans="1:25" s="110" customFormat="1" ht="19.5" hidden="1" customHeight="1" x14ac:dyDescent="0.25">
      <c r="A32" s="66"/>
      <c r="B32" s="3"/>
      <c r="C32" s="19"/>
      <c r="D32" s="21"/>
      <c r="E32" s="22"/>
      <c r="F32" s="24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1"/>
      <c r="R32" s="21"/>
      <c r="S32" s="22"/>
      <c r="T32" s="22"/>
      <c r="U32" s="22"/>
      <c r="V32" s="22"/>
      <c r="W32" s="22"/>
      <c r="X32" s="22"/>
      <c r="Y32" s="22"/>
    </row>
    <row r="33" spans="1:25" s="44" customFormat="1" x14ac:dyDescent="0.25">
      <c r="A33" s="96" t="s">
        <v>49</v>
      </c>
      <c r="B33" s="97" t="s">
        <v>52</v>
      </c>
      <c r="C33" s="98" t="s">
        <v>20</v>
      </c>
      <c r="D33" s="108"/>
      <c r="E33" s="109">
        <f>+E34+E46+E53+E57+E64+E66+E83+E87</f>
        <v>48855247.5</v>
      </c>
      <c r="F33" s="109">
        <f>+F34+F46+F53+F57+F64+F66+F83+F87</f>
        <v>42289628</v>
      </c>
      <c r="G33" s="109">
        <f t="shared" ref="G33:Y33" si="7">+G34+G46+G53+G57+G64+G66+G83+G87</f>
        <v>834216</v>
      </c>
      <c r="H33" s="109">
        <f t="shared" si="7"/>
        <v>0</v>
      </c>
      <c r="I33" s="109">
        <f t="shared" si="7"/>
        <v>0</v>
      </c>
      <c r="J33" s="109">
        <f t="shared" si="7"/>
        <v>3175200</v>
      </c>
      <c r="K33" s="109">
        <f t="shared" si="7"/>
        <v>0</v>
      </c>
      <c r="L33" s="109">
        <f t="shared" si="7"/>
        <v>0</v>
      </c>
      <c r="M33" s="109">
        <f t="shared" si="7"/>
        <v>0</v>
      </c>
      <c r="N33" s="109">
        <f t="shared" si="7"/>
        <v>0</v>
      </c>
      <c r="O33" s="109">
        <f>+O34+O46+O53+O57+O64+O66+O83+O87</f>
        <v>28367</v>
      </c>
      <c r="P33" s="109">
        <f t="shared" si="7"/>
        <v>0</v>
      </c>
      <c r="Q33" s="109">
        <f t="shared" si="7"/>
        <v>0</v>
      </c>
      <c r="R33" s="109">
        <f t="shared" si="7"/>
        <v>594236.5</v>
      </c>
      <c r="S33" s="109">
        <f t="shared" si="7"/>
        <v>0</v>
      </c>
      <c r="T33" s="109">
        <f t="shared" si="7"/>
        <v>0</v>
      </c>
      <c r="U33" s="109">
        <f t="shared" si="7"/>
        <v>1213600</v>
      </c>
      <c r="V33" s="109">
        <f t="shared" si="7"/>
        <v>400000</v>
      </c>
      <c r="W33" s="109">
        <f t="shared" si="7"/>
        <v>320000</v>
      </c>
      <c r="X33" s="109">
        <f t="shared" si="7"/>
        <v>0</v>
      </c>
      <c r="Y33" s="109">
        <f t="shared" si="7"/>
        <v>0</v>
      </c>
    </row>
    <row r="34" spans="1:25" s="26" customFormat="1" ht="28.5" x14ac:dyDescent="0.25">
      <c r="A34" s="90" t="s">
        <v>50</v>
      </c>
      <c r="B34" s="86" t="s">
        <v>53</v>
      </c>
      <c r="C34" s="37" t="s">
        <v>20</v>
      </c>
      <c r="D34" s="38"/>
      <c r="E34" s="39">
        <f>+E35+E36+E38+E41+E42+E43</f>
        <v>43183271.369999997</v>
      </c>
      <c r="F34" s="39">
        <f>+F35+F36+F38+F41+F42+F43</f>
        <v>41717368</v>
      </c>
      <c r="G34" s="39">
        <f t="shared" ref="G34:Y34" si="8">+G35+G38+G41+G42+G43</f>
        <v>0</v>
      </c>
      <c r="H34" s="39">
        <f t="shared" si="8"/>
        <v>0</v>
      </c>
      <c r="I34" s="39">
        <f t="shared" si="8"/>
        <v>0</v>
      </c>
      <c r="J34" s="39">
        <f t="shared" si="8"/>
        <v>0</v>
      </c>
      <c r="K34" s="39">
        <f t="shared" si="8"/>
        <v>0</v>
      </c>
      <c r="L34" s="39">
        <f t="shared" si="8"/>
        <v>0</v>
      </c>
      <c r="M34" s="39">
        <f t="shared" si="8"/>
        <v>0</v>
      </c>
      <c r="N34" s="39">
        <f t="shared" si="8"/>
        <v>0</v>
      </c>
      <c r="O34" s="39">
        <f>+O35+O38+O41+O42+O43</f>
        <v>0</v>
      </c>
      <c r="P34" s="39">
        <f t="shared" si="8"/>
        <v>0</v>
      </c>
      <c r="Q34" s="39">
        <f t="shared" si="8"/>
        <v>0</v>
      </c>
      <c r="R34" s="39">
        <f t="shared" si="8"/>
        <v>594236.5</v>
      </c>
      <c r="S34" s="39">
        <f t="shared" si="8"/>
        <v>0</v>
      </c>
      <c r="T34" s="39">
        <f t="shared" si="8"/>
        <v>0</v>
      </c>
      <c r="U34" s="39">
        <f t="shared" ref="U34:W34" si="9">+U35+U36+U38+U41+U42+U43</f>
        <v>871666.87</v>
      </c>
      <c r="V34" s="39">
        <f t="shared" si="9"/>
        <v>0</v>
      </c>
      <c r="W34" s="39">
        <f t="shared" si="9"/>
        <v>0</v>
      </c>
      <c r="X34" s="39">
        <f t="shared" si="8"/>
        <v>0</v>
      </c>
      <c r="Y34" s="39">
        <f t="shared" si="8"/>
        <v>0</v>
      </c>
    </row>
    <row r="35" spans="1:25" s="26" customFormat="1" ht="30" x14ac:dyDescent="0.25">
      <c r="A35" s="94" t="s">
        <v>51</v>
      </c>
      <c r="B35" s="87" t="s">
        <v>54</v>
      </c>
      <c r="C35" s="23">
        <v>111</v>
      </c>
      <c r="D35" s="27"/>
      <c r="E35" s="24">
        <f>F35+G35+H35+I35+L35+M35+N35+P35+S35+T35+U35+V35+W35+X35+Y35+R35</f>
        <v>33187751</v>
      </c>
      <c r="F35" s="24">
        <f>30234619+90000+1737246</f>
        <v>32061865</v>
      </c>
      <c r="G35" s="24"/>
      <c r="H35" s="24"/>
      <c r="I35" s="24"/>
      <c r="J35" s="24"/>
      <c r="K35" s="24"/>
      <c r="L35" s="24">
        <f>106774.2-106774.2</f>
        <v>0</v>
      </c>
      <c r="M35" s="24"/>
      <c r="N35" s="24"/>
      <c r="O35" s="24"/>
      <c r="P35" s="24"/>
      <c r="Q35" s="24"/>
      <c r="R35" s="24">
        <f>9130+447273</f>
        <v>456403</v>
      </c>
      <c r="S35" s="24"/>
      <c r="T35" s="24"/>
      <c r="U35" s="24">
        <v>669483</v>
      </c>
      <c r="V35" s="24"/>
      <c r="W35" s="24"/>
      <c r="X35" s="24"/>
      <c r="Y35" s="24"/>
    </row>
    <row r="36" spans="1:25" x14ac:dyDescent="0.25">
      <c r="A36" s="94" t="s">
        <v>55</v>
      </c>
      <c r="B36" s="87" t="s">
        <v>56</v>
      </c>
      <c r="C36" s="23">
        <v>112</v>
      </c>
      <c r="D36" s="27"/>
      <c r="E36" s="24">
        <f>F36+G36+H36+I36+M36+N36+P36+S36+T36+U36+V36+W36+X36+Y36</f>
        <v>0</v>
      </c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150"/>
      <c r="R36" s="24"/>
      <c r="S36" s="24"/>
      <c r="T36" s="24"/>
      <c r="U36" s="24"/>
      <c r="V36" s="24"/>
      <c r="W36" s="24"/>
      <c r="X36" s="24"/>
      <c r="Y36" s="24"/>
    </row>
    <row r="37" spans="1:25" s="44" customFormat="1" ht="30" x14ac:dyDescent="0.25">
      <c r="A37" s="71" t="s">
        <v>58</v>
      </c>
      <c r="B37" s="3" t="s">
        <v>57</v>
      </c>
      <c r="C37" s="19">
        <v>113</v>
      </c>
      <c r="D37" s="21"/>
      <c r="E37" s="22">
        <f>F37+G37+H37+I37+M37+N37+P37+S37+T37+U37+V37+W37+X37+Y37</f>
        <v>0</v>
      </c>
      <c r="F37" s="24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150"/>
      <c r="R37" s="24"/>
      <c r="S37" s="22"/>
      <c r="T37" s="22"/>
      <c r="U37" s="22"/>
      <c r="V37" s="22"/>
      <c r="W37" s="22"/>
      <c r="X37" s="22"/>
      <c r="Y37" s="22"/>
    </row>
    <row r="38" spans="1:25" s="26" customFormat="1" ht="30" x14ac:dyDescent="0.25">
      <c r="A38" s="101" t="s">
        <v>59</v>
      </c>
      <c r="B38" s="102" t="s">
        <v>60</v>
      </c>
      <c r="C38" s="48">
        <v>119</v>
      </c>
      <c r="D38" s="61"/>
      <c r="E38" s="59">
        <f>+E39+E40</f>
        <v>9995520.3699999992</v>
      </c>
      <c r="F38" s="59">
        <f t="shared" ref="F38:Y38" si="10">+F39+F40</f>
        <v>9655503</v>
      </c>
      <c r="G38" s="59">
        <f t="shared" si="10"/>
        <v>0</v>
      </c>
      <c r="H38" s="59">
        <f t="shared" si="10"/>
        <v>0</v>
      </c>
      <c r="I38" s="59">
        <f t="shared" si="10"/>
        <v>0</v>
      </c>
      <c r="J38" s="59">
        <f t="shared" si="10"/>
        <v>0</v>
      </c>
      <c r="K38" s="59">
        <f t="shared" si="10"/>
        <v>0</v>
      </c>
      <c r="L38" s="59">
        <f t="shared" si="10"/>
        <v>0</v>
      </c>
      <c r="M38" s="59">
        <f t="shared" si="10"/>
        <v>0</v>
      </c>
      <c r="N38" s="59">
        <f t="shared" si="10"/>
        <v>0</v>
      </c>
      <c r="O38" s="59">
        <f>+O39+O40</f>
        <v>0</v>
      </c>
      <c r="P38" s="59">
        <f t="shared" si="10"/>
        <v>0</v>
      </c>
      <c r="Q38" s="59">
        <f t="shared" si="10"/>
        <v>0</v>
      </c>
      <c r="R38" s="59">
        <f t="shared" si="10"/>
        <v>137833.5</v>
      </c>
      <c r="S38" s="59">
        <f t="shared" si="10"/>
        <v>0</v>
      </c>
      <c r="T38" s="59">
        <f t="shared" si="10"/>
        <v>0</v>
      </c>
      <c r="U38" s="59">
        <f t="shared" si="10"/>
        <v>202183.87</v>
      </c>
      <c r="V38" s="59">
        <f t="shared" si="10"/>
        <v>0</v>
      </c>
      <c r="W38" s="59">
        <f t="shared" si="10"/>
        <v>0</v>
      </c>
      <c r="X38" s="59">
        <f t="shared" si="10"/>
        <v>0</v>
      </c>
      <c r="Y38" s="59">
        <f t="shared" si="10"/>
        <v>0</v>
      </c>
    </row>
    <row r="39" spans="1:25" ht="30" x14ac:dyDescent="0.25">
      <c r="A39" s="94" t="s">
        <v>62</v>
      </c>
      <c r="B39" s="87" t="s">
        <v>61</v>
      </c>
      <c r="C39" s="23">
        <v>119</v>
      </c>
      <c r="D39" s="27"/>
      <c r="E39" s="24">
        <f>F39+G39+H39+I39+L39+M39+N39+P39+S39+T39+U39+V39+W39+X39+Y39+R39</f>
        <v>9995520.3699999992</v>
      </c>
      <c r="F39" s="24">
        <f>9130855+524648</f>
        <v>9655503</v>
      </c>
      <c r="G39" s="24"/>
      <c r="H39" s="24"/>
      <c r="I39" s="24"/>
      <c r="J39" s="24"/>
      <c r="K39" s="24"/>
      <c r="L39" s="24">
        <f>32245.8-32245.8</f>
        <v>0</v>
      </c>
      <c r="M39" s="24"/>
      <c r="N39" s="24"/>
      <c r="O39" s="24"/>
      <c r="P39" s="24"/>
      <c r="Q39" s="150"/>
      <c r="R39" s="24">
        <f>2757.5+135076</f>
        <v>137833.5</v>
      </c>
      <c r="S39" s="24"/>
      <c r="T39" s="24"/>
      <c r="U39" s="24">
        <v>202183.87</v>
      </c>
      <c r="V39" s="24"/>
      <c r="W39" s="24"/>
      <c r="X39" s="24"/>
      <c r="Y39" s="24"/>
    </row>
    <row r="40" spans="1:25" ht="15" customHeight="1" x14ac:dyDescent="0.25">
      <c r="A40" s="71" t="s">
        <v>63</v>
      </c>
      <c r="B40" s="3" t="s">
        <v>65</v>
      </c>
      <c r="C40" s="19">
        <v>119</v>
      </c>
      <c r="D40" s="21"/>
      <c r="E40" s="22">
        <f t="shared" ref="E40:E45" si="11">F40+G40+H40+I40+M40+N40+P40+S40+T40+U40+V40+W40+X40+Y40</f>
        <v>0</v>
      </c>
      <c r="F40" s="24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150"/>
      <c r="R40" s="150"/>
      <c r="S40" s="22"/>
      <c r="T40" s="22"/>
      <c r="U40" s="24"/>
      <c r="V40" s="24"/>
      <c r="W40" s="24"/>
      <c r="X40" s="22"/>
      <c r="Y40" s="22"/>
    </row>
    <row r="41" spans="1:25" ht="30" x14ac:dyDescent="0.25">
      <c r="A41" s="66" t="s">
        <v>64</v>
      </c>
      <c r="B41" s="3" t="s">
        <v>66</v>
      </c>
      <c r="C41" s="19">
        <v>131</v>
      </c>
      <c r="D41" s="21"/>
      <c r="E41" s="22">
        <f t="shared" si="11"/>
        <v>0</v>
      </c>
      <c r="F41" s="24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1"/>
      <c r="R41" s="21"/>
      <c r="S41" s="22"/>
      <c r="T41" s="22"/>
      <c r="U41" s="22"/>
      <c r="V41" s="22"/>
      <c r="W41" s="22"/>
      <c r="X41" s="22"/>
      <c r="Y41" s="22"/>
    </row>
    <row r="42" spans="1:25" ht="30" x14ac:dyDescent="0.25">
      <c r="A42" s="66" t="s">
        <v>231</v>
      </c>
      <c r="B42" s="3" t="s">
        <v>67</v>
      </c>
      <c r="C42" s="19">
        <v>133</v>
      </c>
      <c r="D42" s="21"/>
      <c r="E42" s="22">
        <f t="shared" si="11"/>
        <v>0</v>
      </c>
      <c r="F42" s="24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03"/>
      <c r="R42" s="203"/>
      <c r="S42" s="22"/>
      <c r="T42" s="22"/>
      <c r="U42" s="22"/>
      <c r="V42" s="22"/>
      <c r="W42" s="22"/>
      <c r="X42" s="22"/>
      <c r="Y42" s="22"/>
    </row>
    <row r="43" spans="1:25" x14ac:dyDescent="0.25">
      <c r="A43" s="66" t="s">
        <v>232</v>
      </c>
      <c r="B43" s="3" t="s">
        <v>69</v>
      </c>
      <c r="C43" s="19">
        <v>134</v>
      </c>
      <c r="D43" s="21"/>
      <c r="E43" s="22">
        <f t="shared" si="11"/>
        <v>0</v>
      </c>
      <c r="F43" s="24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03"/>
      <c r="R43" s="203"/>
      <c r="S43" s="22"/>
      <c r="T43" s="22"/>
      <c r="U43" s="22"/>
      <c r="V43" s="22"/>
      <c r="W43" s="22"/>
      <c r="X43" s="22"/>
      <c r="Y43" s="22"/>
    </row>
    <row r="44" spans="1:25" ht="30" x14ac:dyDescent="0.25">
      <c r="A44" s="66" t="s">
        <v>68</v>
      </c>
      <c r="B44" s="3" t="s">
        <v>233</v>
      </c>
      <c r="C44" s="19">
        <v>139</v>
      </c>
      <c r="D44" s="21"/>
      <c r="E44" s="22">
        <f t="shared" si="11"/>
        <v>0</v>
      </c>
      <c r="F44" s="24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03"/>
      <c r="R44" s="203"/>
      <c r="S44" s="22"/>
      <c r="T44" s="22"/>
      <c r="U44" s="22"/>
      <c r="V44" s="22"/>
      <c r="W44" s="22"/>
      <c r="X44" s="22"/>
      <c r="Y44" s="22"/>
    </row>
    <row r="45" spans="1:25" x14ac:dyDescent="0.25">
      <c r="A45" s="71" t="s">
        <v>277</v>
      </c>
      <c r="B45" s="3" t="s">
        <v>234</v>
      </c>
      <c r="C45" s="19">
        <v>139</v>
      </c>
      <c r="D45" s="21"/>
      <c r="E45" s="22">
        <f t="shared" si="11"/>
        <v>0</v>
      </c>
      <c r="F45" s="24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03"/>
      <c r="R45" s="203"/>
      <c r="S45" s="22"/>
      <c r="T45" s="22"/>
      <c r="U45" s="22"/>
      <c r="V45" s="22"/>
      <c r="W45" s="22"/>
      <c r="X45" s="22"/>
      <c r="Y45" s="22"/>
    </row>
    <row r="46" spans="1:25" x14ac:dyDescent="0.25">
      <c r="A46" s="68" t="s">
        <v>72</v>
      </c>
      <c r="B46" s="5" t="s">
        <v>71</v>
      </c>
      <c r="C46" s="18">
        <v>300</v>
      </c>
      <c r="D46" s="28"/>
      <c r="E46" s="20">
        <f>+E47+E48</f>
        <v>0</v>
      </c>
      <c r="F46" s="25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3"/>
      <c r="R46" s="203"/>
      <c r="S46" s="20"/>
      <c r="T46" s="20"/>
      <c r="U46" s="20"/>
      <c r="V46" s="20"/>
      <c r="W46" s="20"/>
      <c r="X46" s="20"/>
      <c r="Y46" s="20"/>
    </row>
    <row r="47" spans="1:25" ht="30" x14ac:dyDescent="0.25">
      <c r="A47" s="71" t="s">
        <v>276</v>
      </c>
      <c r="B47" s="3" t="s">
        <v>74</v>
      </c>
      <c r="C47" s="159">
        <v>320</v>
      </c>
      <c r="D47" s="21"/>
      <c r="E47" s="22">
        <f t="shared" ref="E47:E57" si="12">F47+G47+H47+I47+M47+N47+P47+S47+T47+U47+V47+W47+X47+Y47</f>
        <v>0</v>
      </c>
      <c r="F47" s="24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1"/>
      <c r="R47" s="21"/>
      <c r="S47" s="22"/>
      <c r="T47" s="22"/>
      <c r="U47" s="22"/>
      <c r="V47" s="22"/>
      <c r="W47" s="22"/>
      <c r="X47" s="22"/>
      <c r="Y47" s="22"/>
    </row>
    <row r="48" spans="1:25" ht="15" hidden="1" customHeight="1" x14ac:dyDescent="0.25">
      <c r="A48" s="71" t="s">
        <v>275</v>
      </c>
      <c r="B48" s="3" t="s">
        <v>75</v>
      </c>
      <c r="C48" s="19">
        <v>321</v>
      </c>
      <c r="D48" s="21"/>
      <c r="E48" s="22">
        <f t="shared" si="12"/>
        <v>0</v>
      </c>
      <c r="F48" s="24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1"/>
      <c r="R48" s="21"/>
      <c r="S48" s="22"/>
      <c r="T48" s="22"/>
      <c r="U48" s="22"/>
      <c r="V48" s="22"/>
      <c r="W48" s="22"/>
      <c r="X48" s="22"/>
      <c r="Y48" s="22"/>
    </row>
    <row r="49" spans="1:25" ht="15" hidden="1" customHeight="1" x14ac:dyDescent="0.25">
      <c r="A49" s="71"/>
      <c r="B49" s="3"/>
      <c r="C49" s="19"/>
      <c r="D49" s="21"/>
      <c r="E49" s="22">
        <f t="shared" si="12"/>
        <v>0</v>
      </c>
      <c r="F49" s="24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1"/>
      <c r="R49" s="21"/>
      <c r="S49" s="22"/>
      <c r="T49" s="22"/>
      <c r="U49" s="22"/>
      <c r="V49" s="22"/>
      <c r="W49" s="22"/>
      <c r="X49" s="22"/>
      <c r="Y49" s="22"/>
    </row>
    <row r="50" spans="1:25" ht="45" customHeight="1" x14ac:dyDescent="0.25">
      <c r="A50" s="71" t="s">
        <v>76</v>
      </c>
      <c r="B50" s="3" t="s">
        <v>77</v>
      </c>
      <c r="C50" s="19">
        <v>340</v>
      </c>
      <c r="D50" s="21"/>
      <c r="E50" s="22">
        <f t="shared" si="12"/>
        <v>0</v>
      </c>
      <c r="F50" s="24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1"/>
      <c r="R50" s="21"/>
      <c r="S50" s="22"/>
      <c r="T50" s="22"/>
      <c r="U50" s="22"/>
      <c r="V50" s="22"/>
      <c r="W50" s="22"/>
      <c r="X50" s="22"/>
      <c r="Y50" s="22"/>
    </row>
    <row r="51" spans="1:25" ht="45" x14ac:dyDescent="0.25">
      <c r="A51" s="71" t="s">
        <v>79</v>
      </c>
      <c r="B51" s="3" t="s">
        <v>78</v>
      </c>
      <c r="C51" s="19">
        <v>350</v>
      </c>
      <c r="D51" s="21"/>
      <c r="E51" s="22">
        <f t="shared" si="12"/>
        <v>0</v>
      </c>
      <c r="F51" s="24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1"/>
      <c r="R51" s="21"/>
      <c r="S51" s="22"/>
      <c r="T51" s="22"/>
      <c r="U51" s="22"/>
      <c r="V51" s="22"/>
      <c r="W51" s="22"/>
      <c r="X51" s="22"/>
      <c r="Y51" s="22"/>
    </row>
    <row r="52" spans="1:25" s="44" customFormat="1" x14ac:dyDescent="0.25">
      <c r="A52" s="71" t="s">
        <v>235</v>
      </c>
      <c r="B52" s="3" t="s">
        <v>80</v>
      </c>
      <c r="C52" s="19">
        <v>360</v>
      </c>
      <c r="D52" s="21"/>
      <c r="E52" s="22">
        <f t="shared" si="12"/>
        <v>0</v>
      </c>
      <c r="F52" s="24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03"/>
      <c r="R52" s="203"/>
      <c r="S52" s="22"/>
      <c r="T52" s="22"/>
      <c r="U52" s="22"/>
      <c r="V52" s="22"/>
      <c r="W52" s="22"/>
      <c r="X52" s="22"/>
      <c r="Y52" s="22"/>
    </row>
    <row r="53" spans="1:25" s="26" customFormat="1" x14ac:dyDescent="0.25">
      <c r="A53" s="90" t="s">
        <v>82</v>
      </c>
      <c r="B53" s="86" t="s">
        <v>81</v>
      </c>
      <c r="C53" s="37">
        <v>850</v>
      </c>
      <c r="D53" s="38"/>
      <c r="E53" s="39">
        <f t="shared" si="12"/>
        <v>0</v>
      </c>
      <c r="F53" s="39">
        <f t="shared" ref="F53:Y53" si="13">+F54+F55+F56</f>
        <v>0</v>
      </c>
      <c r="G53" s="39">
        <f t="shared" si="13"/>
        <v>0</v>
      </c>
      <c r="H53" s="39">
        <f t="shared" si="13"/>
        <v>0</v>
      </c>
      <c r="I53" s="39">
        <f t="shared" si="13"/>
        <v>0</v>
      </c>
      <c r="J53" s="39">
        <f t="shared" si="13"/>
        <v>0</v>
      </c>
      <c r="K53" s="39">
        <f t="shared" si="13"/>
        <v>0</v>
      </c>
      <c r="L53" s="39">
        <f t="shared" si="13"/>
        <v>0</v>
      </c>
      <c r="M53" s="39">
        <f t="shared" si="13"/>
        <v>0</v>
      </c>
      <c r="N53" s="39">
        <f t="shared" si="13"/>
        <v>0</v>
      </c>
      <c r="O53" s="39">
        <f>+O54+O55+O56</f>
        <v>0</v>
      </c>
      <c r="P53" s="39">
        <f t="shared" si="13"/>
        <v>0</v>
      </c>
      <c r="Q53" s="39">
        <f t="shared" si="13"/>
        <v>0</v>
      </c>
      <c r="R53" s="39">
        <f t="shared" si="13"/>
        <v>0</v>
      </c>
      <c r="S53" s="39">
        <f t="shared" si="13"/>
        <v>0</v>
      </c>
      <c r="T53" s="39">
        <f t="shared" si="13"/>
        <v>0</v>
      </c>
      <c r="U53" s="39">
        <f t="shared" si="13"/>
        <v>0</v>
      </c>
      <c r="V53" s="39">
        <f t="shared" si="13"/>
        <v>0</v>
      </c>
      <c r="W53" s="39">
        <f t="shared" si="13"/>
        <v>0</v>
      </c>
      <c r="X53" s="39">
        <f t="shared" si="13"/>
        <v>0</v>
      </c>
      <c r="Y53" s="32">
        <f t="shared" si="13"/>
        <v>0</v>
      </c>
    </row>
    <row r="54" spans="1:25" s="26" customFormat="1" ht="30" x14ac:dyDescent="0.25">
      <c r="A54" s="94" t="s">
        <v>83</v>
      </c>
      <c r="B54" s="87" t="s">
        <v>84</v>
      </c>
      <c r="C54" s="23">
        <v>851</v>
      </c>
      <c r="D54" s="27"/>
      <c r="E54" s="24">
        <f t="shared" si="12"/>
        <v>0</v>
      </c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150"/>
      <c r="R54" s="150"/>
      <c r="S54" s="24"/>
      <c r="T54" s="24"/>
      <c r="U54" s="24"/>
      <c r="V54" s="24"/>
      <c r="W54" s="24"/>
      <c r="X54" s="24"/>
      <c r="Y54" s="24"/>
    </row>
    <row r="55" spans="1:25" s="26" customFormat="1" ht="30" x14ac:dyDescent="0.25">
      <c r="A55" s="94" t="s">
        <v>86</v>
      </c>
      <c r="B55" s="87" t="s">
        <v>85</v>
      </c>
      <c r="C55" s="23">
        <v>852</v>
      </c>
      <c r="D55" s="27"/>
      <c r="E55" s="24">
        <f t="shared" si="12"/>
        <v>0</v>
      </c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150"/>
      <c r="R55" s="150"/>
      <c r="S55" s="24"/>
      <c r="T55" s="24"/>
      <c r="U55" s="24"/>
      <c r="V55" s="24"/>
      <c r="W55" s="24"/>
      <c r="X55" s="24"/>
      <c r="Y55" s="24"/>
    </row>
    <row r="56" spans="1:25" ht="18" customHeight="1" x14ac:dyDescent="0.25">
      <c r="A56" s="94" t="s">
        <v>87</v>
      </c>
      <c r="B56" s="87" t="s">
        <v>88</v>
      </c>
      <c r="C56" s="23">
        <v>853</v>
      </c>
      <c r="D56" s="27"/>
      <c r="E56" s="24">
        <f t="shared" si="12"/>
        <v>0</v>
      </c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150"/>
      <c r="R56" s="150"/>
      <c r="S56" s="24"/>
      <c r="T56" s="24"/>
      <c r="U56" s="24"/>
      <c r="V56" s="24"/>
      <c r="W56" s="24"/>
      <c r="X56" s="24"/>
      <c r="Y56" s="24"/>
    </row>
    <row r="57" spans="1:25" s="26" customFormat="1" ht="18" customHeight="1" x14ac:dyDescent="0.25">
      <c r="A57" s="68" t="s">
        <v>90</v>
      </c>
      <c r="B57" s="5" t="s">
        <v>89</v>
      </c>
      <c r="C57" s="18" t="s">
        <v>20</v>
      </c>
      <c r="D57" s="28"/>
      <c r="E57" s="20">
        <f t="shared" si="12"/>
        <v>0</v>
      </c>
      <c r="F57" s="25">
        <f t="shared" ref="F57:Y57" si="14">+F61+F62+F63</f>
        <v>0</v>
      </c>
      <c r="G57" s="20">
        <f t="shared" si="14"/>
        <v>0</v>
      </c>
      <c r="H57" s="20">
        <f t="shared" si="14"/>
        <v>0</v>
      </c>
      <c r="I57" s="20">
        <f t="shared" si="14"/>
        <v>0</v>
      </c>
      <c r="J57" s="20">
        <f t="shared" si="14"/>
        <v>0</v>
      </c>
      <c r="K57" s="20">
        <f t="shared" si="14"/>
        <v>0</v>
      </c>
      <c r="L57" s="20">
        <f t="shared" si="14"/>
        <v>0</v>
      </c>
      <c r="M57" s="20">
        <f t="shared" si="14"/>
        <v>0</v>
      </c>
      <c r="N57" s="20">
        <f t="shared" si="14"/>
        <v>0</v>
      </c>
      <c r="O57" s="20">
        <f>+O61+O62+O63</f>
        <v>0</v>
      </c>
      <c r="P57" s="20">
        <f t="shared" si="14"/>
        <v>0</v>
      </c>
      <c r="Q57" s="20">
        <f t="shared" si="14"/>
        <v>0</v>
      </c>
      <c r="R57" s="20">
        <f t="shared" si="14"/>
        <v>0</v>
      </c>
      <c r="S57" s="20">
        <f t="shared" si="14"/>
        <v>0</v>
      </c>
      <c r="T57" s="20">
        <f t="shared" si="14"/>
        <v>0</v>
      </c>
      <c r="U57" s="25">
        <f t="shared" si="14"/>
        <v>0</v>
      </c>
      <c r="V57" s="25">
        <f t="shared" si="14"/>
        <v>0</v>
      </c>
      <c r="W57" s="25">
        <f t="shared" si="14"/>
        <v>0</v>
      </c>
      <c r="X57" s="20">
        <f t="shared" si="14"/>
        <v>0</v>
      </c>
      <c r="Y57" s="20">
        <f t="shared" si="14"/>
        <v>0</v>
      </c>
    </row>
    <row r="58" spans="1:25" s="26" customFormat="1" ht="19.5" customHeight="1" x14ac:dyDescent="0.25">
      <c r="A58" s="71" t="s">
        <v>236</v>
      </c>
      <c r="B58" s="3" t="s">
        <v>91</v>
      </c>
      <c r="C58" s="159">
        <v>613</v>
      </c>
      <c r="D58" s="28"/>
      <c r="E58" s="20"/>
      <c r="F58" s="25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50"/>
      <c r="R58" s="150"/>
      <c r="S58" s="20"/>
      <c r="T58" s="20"/>
      <c r="U58" s="25"/>
      <c r="V58" s="25"/>
      <c r="W58" s="25"/>
      <c r="X58" s="20"/>
      <c r="Y58" s="20"/>
    </row>
    <row r="59" spans="1:25" s="26" customFormat="1" ht="19.5" customHeight="1" x14ac:dyDescent="0.25">
      <c r="A59" s="71" t="s">
        <v>237</v>
      </c>
      <c r="B59" s="3" t="s">
        <v>92</v>
      </c>
      <c r="C59" s="159">
        <v>623</v>
      </c>
      <c r="D59" s="28"/>
      <c r="E59" s="20"/>
      <c r="F59" s="25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150"/>
      <c r="R59" s="150"/>
      <c r="S59" s="20"/>
      <c r="T59" s="20"/>
      <c r="U59" s="25"/>
      <c r="V59" s="25"/>
      <c r="W59" s="25"/>
      <c r="X59" s="20"/>
      <c r="Y59" s="20"/>
    </row>
    <row r="60" spans="1:25" ht="30" x14ac:dyDescent="0.25">
      <c r="A60" s="71" t="s">
        <v>238</v>
      </c>
      <c r="B60" s="3" t="s">
        <v>95</v>
      </c>
      <c r="C60" s="159">
        <v>634</v>
      </c>
      <c r="D60" s="28"/>
      <c r="E60" s="20"/>
      <c r="F60" s="25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150"/>
      <c r="R60" s="150"/>
      <c r="S60" s="20"/>
      <c r="T60" s="20"/>
      <c r="U60" s="25"/>
      <c r="V60" s="25"/>
      <c r="W60" s="25"/>
      <c r="X60" s="20"/>
      <c r="Y60" s="20"/>
    </row>
    <row r="61" spans="1:25" x14ac:dyDescent="0.25">
      <c r="A61" s="71" t="s">
        <v>239</v>
      </c>
      <c r="B61" s="3" t="s">
        <v>240</v>
      </c>
      <c r="C61" s="19">
        <v>810</v>
      </c>
      <c r="D61" s="21"/>
      <c r="E61" s="22">
        <f>F61+G61+H61+I61+M61+N61+P61+S61+T61+U61+V61+W61+X61+Y61</f>
        <v>0</v>
      </c>
      <c r="F61" s="24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03"/>
      <c r="R61" s="203"/>
      <c r="S61" s="22"/>
      <c r="T61" s="22"/>
      <c r="U61" s="22"/>
      <c r="V61" s="22"/>
      <c r="W61" s="22"/>
      <c r="X61" s="22"/>
      <c r="Y61" s="22"/>
    </row>
    <row r="62" spans="1:25" x14ac:dyDescent="0.25">
      <c r="A62" s="71" t="s">
        <v>93</v>
      </c>
      <c r="B62" s="3" t="s">
        <v>241</v>
      </c>
      <c r="C62" s="19">
        <v>862</v>
      </c>
      <c r="D62" s="21"/>
      <c r="E62" s="22">
        <f>F62+G62+H62+I62+M62+N62+P62+S62+T62+U62+V62+W62+X62+Y62</f>
        <v>0</v>
      </c>
      <c r="F62" s="24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03"/>
      <c r="R62" s="203"/>
      <c r="S62" s="22"/>
      <c r="T62" s="22"/>
      <c r="U62" s="22"/>
      <c r="V62" s="22"/>
      <c r="W62" s="22"/>
      <c r="X62" s="22"/>
      <c r="Y62" s="22"/>
    </row>
    <row r="63" spans="1:25" s="26" customFormat="1" ht="33" customHeight="1" x14ac:dyDescent="0.25">
      <c r="A63" s="71" t="s">
        <v>94</v>
      </c>
      <c r="B63" s="3" t="s">
        <v>242</v>
      </c>
      <c r="C63" s="19">
        <v>863</v>
      </c>
      <c r="D63" s="21"/>
      <c r="E63" s="22">
        <f>F63+G63+H63+I63+M63+N63+P63+S63+T63+U63+V63+W63+X63+Y63</f>
        <v>0</v>
      </c>
      <c r="F63" s="24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03"/>
      <c r="R63" s="203"/>
      <c r="S63" s="22"/>
      <c r="T63" s="22"/>
      <c r="U63" s="22"/>
      <c r="V63" s="22"/>
      <c r="W63" s="22"/>
      <c r="X63" s="22"/>
      <c r="Y63" s="22"/>
    </row>
    <row r="64" spans="1:25" s="26" customFormat="1" x14ac:dyDescent="0.25">
      <c r="A64" s="68" t="s">
        <v>97</v>
      </c>
      <c r="B64" s="5" t="s">
        <v>98</v>
      </c>
      <c r="C64" s="18" t="s">
        <v>20</v>
      </c>
      <c r="D64" s="58"/>
      <c r="E64" s="25">
        <f>+E65</f>
        <v>0</v>
      </c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152"/>
      <c r="R64" s="152"/>
      <c r="S64" s="25"/>
      <c r="T64" s="25"/>
      <c r="U64" s="25">
        <f>+U65</f>
        <v>0</v>
      </c>
      <c r="V64" s="25">
        <f t="shared" ref="V64:W64" si="15">+V65</f>
        <v>0</v>
      </c>
      <c r="W64" s="25">
        <f t="shared" si="15"/>
        <v>0</v>
      </c>
      <c r="X64" s="25"/>
      <c r="Y64" s="25"/>
    </row>
    <row r="65" spans="1:25" s="44" customFormat="1" ht="30" x14ac:dyDescent="0.25">
      <c r="A65" s="71" t="s">
        <v>100</v>
      </c>
      <c r="B65" s="3" t="s">
        <v>99</v>
      </c>
      <c r="C65" s="19">
        <v>831</v>
      </c>
      <c r="D65" s="27"/>
      <c r="E65" s="24">
        <f>F65+G65+H65+I65+M65+N65+P65+S65+T65+U65+V65+W65+X65+Y65</f>
        <v>0</v>
      </c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152"/>
      <c r="R65" s="152"/>
      <c r="S65" s="24"/>
      <c r="T65" s="24"/>
      <c r="U65" s="24"/>
      <c r="V65" s="24"/>
      <c r="W65" s="24"/>
      <c r="X65" s="24"/>
      <c r="Y65" s="24"/>
    </row>
    <row r="66" spans="1:25" s="26" customFormat="1" x14ac:dyDescent="0.25">
      <c r="A66" s="90" t="s">
        <v>102</v>
      </c>
      <c r="B66" s="86" t="s">
        <v>96</v>
      </c>
      <c r="C66" s="37" t="s">
        <v>20</v>
      </c>
      <c r="D66" s="38"/>
      <c r="E66" s="39">
        <f>E67+E69+E70+E78+E79+E77</f>
        <v>5671976.1299999999</v>
      </c>
      <c r="F66" s="39">
        <f t="shared" ref="F66:Y66" si="16">F67+F69+F70+F78+F79+F77</f>
        <v>572260</v>
      </c>
      <c r="G66" s="39">
        <f t="shared" si="16"/>
        <v>834216</v>
      </c>
      <c r="H66" s="39">
        <f t="shared" si="16"/>
        <v>0</v>
      </c>
      <c r="I66" s="39">
        <f t="shared" si="16"/>
        <v>0</v>
      </c>
      <c r="J66" s="39">
        <f t="shared" si="16"/>
        <v>3175200</v>
      </c>
      <c r="K66" s="39">
        <f t="shared" si="16"/>
        <v>0</v>
      </c>
      <c r="L66" s="39">
        <f t="shared" si="16"/>
        <v>0</v>
      </c>
      <c r="M66" s="39">
        <f t="shared" si="16"/>
        <v>0</v>
      </c>
      <c r="N66" s="39">
        <f t="shared" si="16"/>
        <v>0</v>
      </c>
      <c r="O66" s="39">
        <f>O67+O69+O70+O78+O79+O77</f>
        <v>28367</v>
      </c>
      <c r="P66" s="39">
        <f t="shared" si="16"/>
        <v>0</v>
      </c>
      <c r="Q66" s="39">
        <f t="shared" si="16"/>
        <v>0</v>
      </c>
      <c r="R66" s="39">
        <f t="shared" si="16"/>
        <v>0</v>
      </c>
      <c r="S66" s="39">
        <f t="shared" si="16"/>
        <v>0</v>
      </c>
      <c r="T66" s="39">
        <f t="shared" si="16"/>
        <v>0</v>
      </c>
      <c r="U66" s="39">
        <f t="shared" si="16"/>
        <v>341933.13</v>
      </c>
      <c r="V66" s="39">
        <f t="shared" si="16"/>
        <v>400000</v>
      </c>
      <c r="W66" s="39">
        <f t="shared" si="16"/>
        <v>320000</v>
      </c>
      <c r="X66" s="39">
        <f t="shared" si="16"/>
        <v>0</v>
      </c>
      <c r="Y66" s="39">
        <f t="shared" si="16"/>
        <v>0</v>
      </c>
    </row>
    <row r="67" spans="1:25" ht="15" hidden="1" customHeight="1" x14ac:dyDescent="0.25">
      <c r="A67" s="71" t="s">
        <v>274</v>
      </c>
      <c r="B67" s="3" t="s">
        <v>103</v>
      </c>
      <c r="C67" s="19">
        <v>241</v>
      </c>
      <c r="D67" s="21"/>
      <c r="E67" s="22">
        <f>F67+G67+H67+I67+M67+N67+P67+S67+T67+U67+V67+W67+X67+Y67</f>
        <v>0</v>
      </c>
      <c r="F67" s="24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1"/>
      <c r="R67" s="21"/>
      <c r="S67" s="22"/>
      <c r="T67" s="22"/>
      <c r="U67" s="22"/>
      <c r="V67" s="22"/>
      <c r="W67" s="22"/>
      <c r="X67" s="22"/>
      <c r="Y67" s="22"/>
    </row>
    <row r="68" spans="1:25" s="26" customFormat="1" ht="15" hidden="1" customHeight="1" x14ac:dyDescent="0.25">
      <c r="A68" s="71"/>
      <c r="B68" s="3"/>
      <c r="C68" s="19"/>
      <c r="D68" s="21"/>
      <c r="E68" s="22"/>
      <c r="F68" s="24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03"/>
      <c r="R68" s="203"/>
      <c r="S68" s="22"/>
      <c r="T68" s="22"/>
      <c r="U68" s="22"/>
      <c r="V68" s="22"/>
      <c r="W68" s="22"/>
      <c r="X68" s="22"/>
      <c r="Y68" s="22"/>
    </row>
    <row r="69" spans="1:25" s="79" customFormat="1" ht="30" x14ac:dyDescent="0.25">
      <c r="A69" s="71" t="s">
        <v>106</v>
      </c>
      <c r="B69" s="3" t="s">
        <v>105</v>
      </c>
      <c r="C69" s="19">
        <v>243</v>
      </c>
      <c r="D69" s="21"/>
      <c r="E69" s="22">
        <f>F69+G69+H69+I69+M69+N69+P69+J69</f>
        <v>0</v>
      </c>
      <c r="F69" s="24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1"/>
      <c r="R69" s="21"/>
      <c r="S69" s="22"/>
      <c r="T69" s="22"/>
      <c r="U69" s="24"/>
      <c r="V69" s="24"/>
      <c r="W69" s="24"/>
      <c r="X69" s="22"/>
      <c r="Y69" s="22"/>
    </row>
    <row r="70" spans="1:25" s="26" customFormat="1" x14ac:dyDescent="0.25">
      <c r="A70" s="155" t="s">
        <v>107</v>
      </c>
      <c r="B70" s="86" t="s">
        <v>108</v>
      </c>
      <c r="C70" s="37">
        <v>244</v>
      </c>
      <c r="D70" s="38"/>
      <c r="E70" s="39">
        <f>F70+G70+H70+I70+O70+K70+L70+M70+N70+P70+J70+S70+T70+U70+V70+W70+X70+Y70</f>
        <v>5241202.13</v>
      </c>
      <c r="F70" s="39">
        <f>F71+20000</f>
        <v>572260</v>
      </c>
      <c r="G70" s="39">
        <f>G71+83400</f>
        <v>834216</v>
      </c>
      <c r="H70" s="39">
        <f t="shared" ref="H70:Y70" si="17">H71</f>
        <v>0</v>
      </c>
      <c r="I70" s="39">
        <f t="shared" si="17"/>
        <v>0</v>
      </c>
      <c r="J70" s="39">
        <f>J71+3175200</f>
        <v>3175200</v>
      </c>
      <c r="K70" s="39">
        <f t="shared" si="17"/>
        <v>0</v>
      </c>
      <c r="L70" s="39">
        <f t="shared" si="17"/>
        <v>0</v>
      </c>
      <c r="M70" s="39">
        <f t="shared" si="17"/>
        <v>0</v>
      </c>
      <c r="N70" s="39">
        <f t="shared" si="17"/>
        <v>0</v>
      </c>
      <c r="O70" s="39">
        <f>O71+28367</f>
        <v>28367</v>
      </c>
      <c r="P70" s="39">
        <f t="shared" si="17"/>
        <v>0</v>
      </c>
      <c r="Q70" s="39">
        <f t="shared" si="17"/>
        <v>0</v>
      </c>
      <c r="R70" s="39">
        <f t="shared" si="17"/>
        <v>0</v>
      </c>
      <c r="S70" s="39">
        <f t="shared" si="17"/>
        <v>0</v>
      </c>
      <c r="T70" s="39">
        <f t="shared" si="17"/>
        <v>0</v>
      </c>
      <c r="U70" s="39">
        <f>U71+30000+138000</f>
        <v>311159.13</v>
      </c>
      <c r="V70" s="39">
        <f>V71</f>
        <v>0</v>
      </c>
      <c r="W70" s="39">
        <f>W71+90000</f>
        <v>320000</v>
      </c>
      <c r="X70" s="39">
        <f t="shared" si="17"/>
        <v>0</v>
      </c>
      <c r="Y70" s="39">
        <f t="shared" si="17"/>
        <v>0</v>
      </c>
    </row>
    <row r="71" spans="1:25" s="26" customFormat="1" ht="30" x14ac:dyDescent="0.25">
      <c r="A71" s="143" t="s">
        <v>129</v>
      </c>
      <c r="B71" s="87" t="s">
        <v>130</v>
      </c>
      <c r="C71" s="23">
        <v>244</v>
      </c>
      <c r="D71" s="27"/>
      <c r="E71" s="24">
        <f>E73+E74+E75</f>
        <v>1676235.13</v>
      </c>
      <c r="F71" s="24">
        <f>F73+F75</f>
        <v>552260</v>
      </c>
      <c r="G71" s="24">
        <f>G73+G74+G75</f>
        <v>750816</v>
      </c>
      <c r="H71" s="24">
        <f t="shared" ref="H71:Y71" si="18">H73+H74+H75</f>
        <v>0</v>
      </c>
      <c r="I71" s="24">
        <f t="shared" si="18"/>
        <v>0</v>
      </c>
      <c r="J71" s="24">
        <f>J73+J74+J75</f>
        <v>0</v>
      </c>
      <c r="K71" s="24">
        <f>K73+K74+K75</f>
        <v>0</v>
      </c>
      <c r="L71" s="24">
        <f>L73+L74+L75</f>
        <v>0</v>
      </c>
      <c r="M71" s="24">
        <f t="shared" si="18"/>
        <v>0</v>
      </c>
      <c r="N71" s="24">
        <f t="shared" si="18"/>
        <v>0</v>
      </c>
      <c r="O71" s="24">
        <f>O73+O74+O75</f>
        <v>0</v>
      </c>
      <c r="P71" s="24">
        <f t="shared" si="18"/>
        <v>0</v>
      </c>
      <c r="Q71" s="24">
        <f t="shared" si="18"/>
        <v>0</v>
      </c>
      <c r="R71" s="24">
        <f t="shared" si="18"/>
        <v>0</v>
      </c>
      <c r="S71" s="24">
        <f t="shared" si="18"/>
        <v>0</v>
      </c>
      <c r="T71" s="24">
        <f t="shared" si="18"/>
        <v>0</v>
      </c>
      <c r="U71" s="24">
        <f t="shared" si="18"/>
        <v>143159.13</v>
      </c>
      <c r="V71" s="24">
        <f t="shared" si="18"/>
        <v>0</v>
      </c>
      <c r="W71" s="24">
        <f t="shared" si="18"/>
        <v>230000</v>
      </c>
      <c r="X71" s="24">
        <f t="shared" si="18"/>
        <v>0</v>
      </c>
      <c r="Y71" s="24">
        <f t="shared" si="18"/>
        <v>0</v>
      </c>
    </row>
    <row r="72" spans="1:25" s="26" customFormat="1" x14ac:dyDescent="0.25">
      <c r="A72" s="143" t="s">
        <v>123</v>
      </c>
      <c r="B72" s="87"/>
      <c r="C72" s="23"/>
      <c r="D72" s="27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150"/>
      <c r="R72" s="150"/>
      <c r="S72" s="24"/>
      <c r="T72" s="24"/>
      <c r="U72" s="24"/>
      <c r="V72" s="24"/>
      <c r="W72" s="24"/>
      <c r="X72" s="24"/>
      <c r="Y72" s="24"/>
    </row>
    <row r="73" spans="1:25" s="80" customFormat="1" x14ac:dyDescent="0.25">
      <c r="A73" s="143" t="s">
        <v>125</v>
      </c>
      <c r="B73" s="87" t="s">
        <v>131</v>
      </c>
      <c r="C73" s="23">
        <v>244</v>
      </c>
      <c r="D73" s="27"/>
      <c r="E73" s="24">
        <f>F73+G73+H73+I73+M73+N73+P73+S73+T73+U73+V73+W73+X73+Y73</f>
        <v>784919.13</v>
      </c>
      <c r="F73" s="24">
        <f>491760</f>
        <v>491760</v>
      </c>
      <c r="G73" s="24"/>
      <c r="H73" s="24"/>
      <c r="I73" s="24"/>
      <c r="J73" s="24"/>
      <c r="K73" s="24"/>
      <c r="L73" s="24">
        <f>94000-94000</f>
        <v>0</v>
      </c>
      <c r="M73" s="24"/>
      <c r="N73" s="24"/>
      <c r="O73" s="24"/>
      <c r="P73" s="24"/>
      <c r="Q73" s="150"/>
      <c r="R73" s="150"/>
      <c r="S73" s="24"/>
      <c r="T73" s="24"/>
      <c r="U73" s="24">
        <f>113159.13</f>
        <v>113159.13</v>
      </c>
      <c r="V73" s="24"/>
      <c r="W73" s="24">
        <f>180000</f>
        <v>180000</v>
      </c>
      <c r="X73" s="24"/>
      <c r="Y73" s="24"/>
    </row>
    <row r="74" spans="1:25" s="26" customFormat="1" x14ac:dyDescent="0.25">
      <c r="A74" s="149" t="s">
        <v>126</v>
      </c>
      <c r="B74" s="103" t="s">
        <v>132</v>
      </c>
      <c r="C74" s="104">
        <v>244</v>
      </c>
      <c r="D74" s="106"/>
      <c r="E74" s="107">
        <f>F74+G74+H74+I74+M74+N74+P74+S74+T74+U74+V74+W74+X74+Y74</f>
        <v>0</v>
      </c>
      <c r="F74" s="107"/>
      <c r="G74" s="107"/>
      <c r="H74" s="107"/>
      <c r="I74" s="107"/>
      <c r="J74" s="107"/>
      <c r="K74" s="107"/>
      <c r="L74" s="107"/>
      <c r="M74" s="107"/>
      <c r="N74" s="107"/>
      <c r="O74" s="107"/>
      <c r="P74" s="107"/>
      <c r="Q74" s="152"/>
      <c r="R74" s="152"/>
      <c r="S74" s="107"/>
      <c r="T74" s="107"/>
      <c r="U74" s="107"/>
      <c r="V74" s="107"/>
      <c r="W74" s="107"/>
      <c r="X74" s="107"/>
      <c r="Y74" s="107"/>
    </row>
    <row r="75" spans="1:25" s="111" customFormat="1" x14ac:dyDescent="0.25">
      <c r="A75" s="143" t="s">
        <v>127</v>
      </c>
      <c r="B75" s="87" t="s">
        <v>133</v>
      </c>
      <c r="C75" s="23">
        <v>244</v>
      </c>
      <c r="D75" s="27"/>
      <c r="E75" s="24">
        <f>F75+G75+H75+I75+K75+L75+M75+N75+P75+J75+S75+T75+U75+V75+W75+X75+Y75</f>
        <v>891316</v>
      </c>
      <c r="F75" s="24">
        <f>60500</f>
        <v>60500</v>
      </c>
      <c r="G75" s="24">
        <f>750816</f>
        <v>750816</v>
      </c>
      <c r="H75" s="24"/>
      <c r="I75" s="24"/>
      <c r="J75" s="24"/>
      <c r="K75" s="24"/>
      <c r="L75" s="24">
        <f>206000-206000</f>
        <v>0</v>
      </c>
      <c r="M75" s="24"/>
      <c r="N75" s="24"/>
      <c r="O75" s="24"/>
      <c r="P75" s="24"/>
      <c r="Q75" s="150"/>
      <c r="R75" s="150"/>
      <c r="S75" s="24"/>
      <c r="T75" s="24"/>
      <c r="U75" s="24">
        <f>30000</f>
        <v>30000</v>
      </c>
      <c r="V75" s="24"/>
      <c r="W75" s="24">
        <f>50000</f>
        <v>50000</v>
      </c>
      <c r="X75" s="24"/>
      <c r="Y75" s="24"/>
    </row>
    <row r="76" spans="1:25" s="157" customFormat="1" ht="17.25" customHeight="1" x14ac:dyDescent="0.25">
      <c r="A76" s="144" t="s">
        <v>128</v>
      </c>
      <c r="B76" s="95"/>
      <c r="C76" s="41"/>
      <c r="D76" s="42"/>
      <c r="E76" s="43">
        <f>F76+G76+H76+I76+K76+M76+N76+P76+J76+S76+T76+U76+V76+W76+X76+Y76</f>
        <v>750816</v>
      </c>
      <c r="F76" s="43"/>
      <c r="G76" s="43">
        <f>750816</f>
        <v>750816</v>
      </c>
      <c r="H76" s="43"/>
      <c r="I76" s="43"/>
      <c r="J76" s="43"/>
      <c r="K76" s="43"/>
      <c r="L76" s="43"/>
      <c r="M76" s="43"/>
      <c r="N76" s="43"/>
      <c r="O76" s="43"/>
      <c r="P76" s="43"/>
      <c r="Q76" s="153"/>
      <c r="R76" s="153"/>
      <c r="S76" s="43"/>
      <c r="T76" s="43"/>
      <c r="U76" s="43"/>
      <c r="V76" s="43"/>
      <c r="W76" s="43"/>
      <c r="X76" s="43"/>
      <c r="Y76" s="43"/>
    </row>
    <row r="77" spans="1:25" ht="30" x14ac:dyDescent="0.25">
      <c r="A77" s="182" t="s">
        <v>273</v>
      </c>
      <c r="B77" s="163" t="s">
        <v>124</v>
      </c>
      <c r="C77" s="164">
        <v>246</v>
      </c>
      <c r="D77" s="167"/>
      <c r="E77" s="24">
        <f>F77+G77+H77+I77+M77+N77+P77+J77+S77+T77+U77+V77+W77+X77+Y77</f>
        <v>0</v>
      </c>
      <c r="F77" s="168"/>
      <c r="G77" s="168"/>
      <c r="H77" s="168"/>
      <c r="I77" s="168"/>
      <c r="J77" s="168"/>
      <c r="K77" s="168"/>
      <c r="L77" s="168"/>
      <c r="M77" s="168"/>
      <c r="N77" s="168"/>
      <c r="O77" s="168"/>
      <c r="P77" s="168"/>
      <c r="Q77" s="169"/>
      <c r="R77" s="169"/>
      <c r="S77" s="168"/>
      <c r="T77" s="168"/>
      <c r="U77" s="168"/>
      <c r="V77" s="168"/>
      <c r="W77" s="168"/>
      <c r="X77" s="168"/>
      <c r="Y77" s="24"/>
    </row>
    <row r="78" spans="1:25" x14ac:dyDescent="0.25">
      <c r="A78" s="183" t="s">
        <v>259</v>
      </c>
      <c r="B78" s="165" t="s">
        <v>261</v>
      </c>
      <c r="C78" s="166">
        <v>247</v>
      </c>
      <c r="D78" s="61"/>
      <c r="E78" s="59">
        <f>F78+G78+H78+I78+M78+N78+P78+J78+S78+T78+U78+V78+W78+X78+Y78</f>
        <v>430774</v>
      </c>
      <c r="F78" s="154"/>
      <c r="G78" s="60"/>
      <c r="H78" s="60"/>
      <c r="I78" s="59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0">
        <v>30774</v>
      </c>
      <c r="V78" s="60">
        <v>400000</v>
      </c>
      <c r="W78" s="61"/>
      <c r="X78" s="61"/>
      <c r="Y78" s="61"/>
    </row>
    <row r="79" spans="1:25" ht="30" x14ac:dyDescent="0.25">
      <c r="A79" s="66" t="s">
        <v>122</v>
      </c>
      <c r="B79" s="171" t="s">
        <v>262</v>
      </c>
      <c r="C79" s="19">
        <v>400</v>
      </c>
      <c r="D79" s="21"/>
      <c r="E79" s="22">
        <f>+E80+E81</f>
        <v>0</v>
      </c>
      <c r="F79" s="24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1"/>
      <c r="R79" s="21"/>
      <c r="S79" s="22"/>
      <c r="T79" s="22"/>
      <c r="U79" s="22"/>
      <c r="V79" s="22"/>
      <c r="W79" s="22"/>
      <c r="X79" s="22"/>
      <c r="Y79" s="22"/>
    </row>
    <row r="80" spans="1:25" ht="45" x14ac:dyDescent="0.25">
      <c r="A80" s="71" t="s">
        <v>109</v>
      </c>
      <c r="B80" s="171" t="s">
        <v>263</v>
      </c>
      <c r="C80" s="19">
        <v>406</v>
      </c>
      <c r="D80" s="21"/>
      <c r="E80" s="22"/>
      <c r="F80" s="24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1"/>
      <c r="R80" s="21"/>
      <c r="S80" s="22"/>
      <c r="T80" s="22"/>
      <c r="U80" s="22"/>
      <c r="V80" s="22"/>
      <c r="W80" s="22"/>
      <c r="X80" s="22"/>
      <c r="Y80" s="22"/>
    </row>
    <row r="81" spans="1:25" ht="30" x14ac:dyDescent="0.25">
      <c r="A81" s="71" t="s">
        <v>110</v>
      </c>
      <c r="B81" s="171" t="s">
        <v>264</v>
      </c>
      <c r="C81" s="19">
        <v>407</v>
      </c>
      <c r="D81" s="21"/>
      <c r="E81" s="22"/>
      <c r="F81" s="24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1"/>
      <c r="R81" s="21"/>
      <c r="S81" s="22"/>
      <c r="T81" s="22"/>
      <c r="U81" s="22"/>
      <c r="V81" s="22"/>
      <c r="W81" s="22"/>
      <c r="X81" s="22"/>
      <c r="Y81" s="22"/>
    </row>
    <row r="82" spans="1:25" x14ac:dyDescent="0.25">
      <c r="A82" s="71" t="s">
        <v>288</v>
      </c>
      <c r="B82" s="171" t="s">
        <v>289</v>
      </c>
      <c r="C82" s="19">
        <v>880</v>
      </c>
      <c r="D82" s="21"/>
      <c r="E82" s="22"/>
      <c r="F82" s="24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1"/>
      <c r="R82" s="21"/>
      <c r="S82" s="22"/>
      <c r="T82" s="22"/>
      <c r="U82" s="22"/>
      <c r="V82" s="22"/>
      <c r="W82" s="22"/>
      <c r="X82" s="22"/>
      <c r="Y82" s="22"/>
    </row>
    <row r="83" spans="1:25" x14ac:dyDescent="0.25">
      <c r="A83" s="68" t="s">
        <v>111</v>
      </c>
      <c r="B83" s="5" t="s">
        <v>112</v>
      </c>
      <c r="C83" s="18">
        <v>100</v>
      </c>
      <c r="D83" s="28"/>
      <c r="E83" s="20"/>
      <c r="F83" s="25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1"/>
      <c r="R83" s="21"/>
      <c r="S83" s="20"/>
      <c r="T83" s="20"/>
      <c r="U83" s="20"/>
      <c r="V83" s="20"/>
      <c r="W83" s="20"/>
      <c r="X83" s="20"/>
      <c r="Y83" s="20"/>
    </row>
    <row r="84" spans="1:25" x14ac:dyDescent="0.25">
      <c r="A84" s="71" t="s">
        <v>225</v>
      </c>
      <c r="B84" s="3" t="s">
        <v>113</v>
      </c>
      <c r="C84" s="19"/>
      <c r="D84" s="21"/>
      <c r="E84" s="22"/>
      <c r="F84" s="24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1"/>
      <c r="R84" s="21"/>
      <c r="S84" s="22"/>
      <c r="T84" s="22"/>
      <c r="U84" s="22"/>
      <c r="V84" s="22"/>
      <c r="W84" s="22"/>
      <c r="X84" s="22"/>
      <c r="Y84" s="22"/>
    </row>
    <row r="85" spans="1:25" x14ac:dyDescent="0.25">
      <c r="A85" s="71" t="s">
        <v>115</v>
      </c>
      <c r="B85" s="3" t="s">
        <v>116</v>
      </c>
      <c r="C85" s="19"/>
      <c r="D85" s="21"/>
      <c r="E85" s="22"/>
      <c r="F85" s="24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1"/>
      <c r="R85" s="21"/>
      <c r="S85" s="22"/>
      <c r="T85" s="22"/>
      <c r="U85" s="22"/>
      <c r="V85" s="22"/>
      <c r="W85" s="22"/>
      <c r="X85" s="22"/>
      <c r="Y85" s="22"/>
    </row>
    <row r="86" spans="1:25" x14ac:dyDescent="0.25">
      <c r="A86" s="71" t="s">
        <v>118</v>
      </c>
      <c r="B86" s="3" t="s">
        <v>117</v>
      </c>
      <c r="C86" s="19"/>
      <c r="D86" s="21"/>
      <c r="E86" s="22"/>
      <c r="F86" s="24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1"/>
      <c r="R86" s="21"/>
      <c r="S86" s="22"/>
      <c r="T86" s="22"/>
      <c r="U86" s="22"/>
      <c r="V86" s="22"/>
      <c r="W86" s="22"/>
      <c r="X86" s="22"/>
      <c r="Y86" s="22"/>
    </row>
    <row r="87" spans="1:25" x14ac:dyDescent="0.25">
      <c r="A87" s="68" t="s">
        <v>119</v>
      </c>
      <c r="B87" s="5" t="s">
        <v>120</v>
      </c>
      <c r="C87" s="18" t="s">
        <v>20</v>
      </c>
      <c r="D87" s="28"/>
      <c r="E87" s="20"/>
      <c r="F87" s="25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1"/>
      <c r="R87" s="21"/>
      <c r="S87" s="20"/>
      <c r="T87" s="20"/>
      <c r="U87" s="20"/>
      <c r="V87" s="20"/>
      <c r="W87" s="20"/>
      <c r="X87" s="20"/>
      <c r="Y87" s="20"/>
    </row>
    <row r="88" spans="1:25" x14ac:dyDescent="0.25">
      <c r="A88" s="71" t="s">
        <v>224</v>
      </c>
      <c r="B88" s="3" t="s">
        <v>121</v>
      </c>
      <c r="C88" s="19">
        <v>610</v>
      </c>
      <c r="D88" s="21"/>
      <c r="E88" s="25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1"/>
      <c r="R88" s="21"/>
      <c r="S88" s="22"/>
      <c r="T88" s="22"/>
      <c r="U88" s="22"/>
      <c r="V88" s="22"/>
      <c r="W88" s="22"/>
      <c r="X88" s="22"/>
      <c r="Y88" s="22"/>
    </row>
  </sheetData>
  <mergeCells count="21">
    <mergeCell ref="M3:N3"/>
    <mergeCell ref="V3:V4"/>
    <mergeCell ref="W3:W4"/>
    <mergeCell ref="X3:X4"/>
    <mergeCell ref="Y3:Y4"/>
    <mergeCell ref="A1:U1"/>
    <mergeCell ref="A2:A4"/>
    <mergeCell ref="B2:B4"/>
    <mergeCell ref="C2:C4"/>
    <mergeCell ref="D2:D4"/>
    <mergeCell ref="E2:E4"/>
    <mergeCell ref="F2:F4"/>
    <mergeCell ref="R3:R4"/>
    <mergeCell ref="T3:T4"/>
    <mergeCell ref="P3:P4"/>
    <mergeCell ref="G2:R2"/>
    <mergeCell ref="S2:S4"/>
    <mergeCell ref="O3:O4"/>
    <mergeCell ref="T2:Y2"/>
    <mergeCell ref="U3:U4"/>
    <mergeCell ref="G3:L3"/>
  </mergeCells>
  <pageMargins left="0.2" right="0.17" top="0.17" bottom="0.32" header="0.31496062992125984" footer="0.16"/>
  <pageSetup paperSize="9" scale="39" fitToHeight="0" orientation="landscape" r:id="rId1"/>
  <rowBreaks count="1" manualBreakCount="1">
    <brk id="43" max="2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9"/>
  <sheetViews>
    <sheetView view="pageBreakPreview" topLeftCell="B60" zoomScale="58" zoomScaleNormal="55" zoomScaleSheetLayoutView="58" workbookViewId="0">
      <selection activeCell="T91" sqref="T91:T92"/>
    </sheetView>
  </sheetViews>
  <sheetFormatPr defaultColWidth="9.140625" defaultRowHeight="15" x14ac:dyDescent="0.25"/>
  <cols>
    <col min="1" max="1" width="62.140625" style="34" customWidth="1"/>
    <col min="2" max="2" width="9.140625" style="4"/>
    <col min="3" max="3" width="14.5703125" style="35" customWidth="1"/>
    <col min="4" max="4" width="9.42578125" style="36" customWidth="1"/>
    <col min="5" max="5" width="16.5703125" style="36" customWidth="1"/>
    <col min="6" max="6" width="16.140625" style="114" customWidth="1"/>
    <col min="7" max="7" width="18.140625" style="36" customWidth="1"/>
    <col min="8" max="8" width="17.85546875" style="36" customWidth="1"/>
    <col min="9" max="9" width="15" style="36" customWidth="1"/>
    <col min="10" max="10" width="17" style="36" customWidth="1"/>
    <col min="11" max="11" width="16.140625" style="36" customWidth="1"/>
    <col min="12" max="12" width="11.85546875" style="36" customWidth="1"/>
    <col min="13" max="13" width="19.140625" style="36" hidden="1" customWidth="1"/>
    <col min="14" max="14" width="1.28515625" style="36" hidden="1" customWidth="1"/>
    <col min="15" max="15" width="15.28515625" style="36" customWidth="1"/>
    <col min="16" max="16" width="10.7109375" style="36" customWidth="1"/>
    <col min="17" max="17" width="14.28515625" style="36" hidden="1" customWidth="1"/>
    <col min="18" max="18" width="17" style="36" customWidth="1"/>
    <col min="19" max="19" width="7.7109375" style="36" customWidth="1"/>
    <col min="20" max="20" width="14" style="36" customWidth="1"/>
    <col min="21" max="21" width="15.42578125" style="36" customWidth="1"/>
    <col min="22" max="23" width="13.42578125" style="17" customWidth="1"/>
    <col min="24" max="24" width="10.5703125" style="17" customWidth="1"/>
    <col min="25" max="25" width="9.140625" style="17" hidden="1" customWidth="1"/>
    <col min="26" max="16384" width="9.140625" style="17"/>
  </cols>
  <sheetData>
    <row r="1" spans="1:25" ht="31.9" customHeight="1" x14ac:dyDescent="0.25">
      <c r="A1" s="274" t="s">
        <v>295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  <c r="S1" s="274"/>
      <c r="T1" s="274"/>
      <c r="U1" s="274"/>
    </row>
    <row r="2" spans="1:25" s="67" customFormat="1" ht="60.75" customHeight="1" x14ac:dyDescent="0.25">
      <c r="A2" s="275" t="s">
        <v>11</v>
      </c>
      <c r="B2" s="276" t="s">
        <v>12</v>
      </c>
      <c r="C2" s="275" t="s">
        <v>13</v>
      </c>
      <c r="D2" s="275" t="s">
        <v>14</v>
      </c>
      <c r="E2" s="264" t="s">
        <v>196</v>
      </c>
      <c r="F2" s="278" t="s">
        <v>165</v>
      </c>
      <c r="G2" s="264" t="s">
        <v>167</v>
      </c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 t="s">
        <v>168</v>
      </c>
      <c r="T2" s="264" t="s">
        <v>199</v>
      </c>
      <c r="U2" s="264"/>
      <c r="V2" s="264"/>
      <c r="W2" s="264"/>
      <c r="X2" s="264"/>
      <c r="Y2" s="264"/>
    </row>
    <row r="3" spans="1:25" s="67" customFormat="1" ht="57.75" customHeight="1" x14ac:dyDescent="0.25">
      <c r="A3" s="275"/>
      <c r="B3" s="276"/>
      <c r="C3" s="275"/>
      <c r="D3" s="275"/>
      <c r="E3" s="264"/>
      <c r="F3" s="278"/>
      <c r="G3" s="271" t="s">
        <v>258</v>
      </c>
      <c r="H3" s="271"/>
      <c r="I3" s="271"/>
      <c r="J3" s="271"/>
      <c r="K3" s="271"/>
      <c r="L3" s="271"/>
      <c r="M3" s="270" t="s">
        <v>221</v>
      </c>
      <c r="N3" s="270"/>
      <c r="O3" s="272" t="s">
        <v>283</v>
      </c>
      <c r="P3" s="271" t="s">
        <v>219</v>
      </c>
      <c r="Q3" s="199"/>
      <c r="R3" s="278" t="s">
        <v>287</v>
      </c>
      <c r="S3" s="264"/>
      <c r="T3" s="277" t="s">
        <v>206</v>
      </c>
      <c r="U3" s="271" t="s">
        <v>174</v>
      </c>
      <c r="V3" s="271" t="s">
        <v>207</v>
      </c>
      <c r="W3" s="271" t="s">
        <v>208</v>
      </c>
      <c r="X3" s="271" t="s">
        <v>209</v>
      </c>
      <c r="Y3" s="271" t="s">
        <v>220</v>
      </c>
    </row>
    <row r="4" spans="1:25" ht="312.75" customHeight="1" x14ac:dyDescent="0.25">
      <c r="A4" s="275"/>
      <c r="B4" s="276"/>
      <c r="C4" s="275"/>
      <c r="D4" s="275"/>
      <c r="E4" s="264"/>
      <c r="F4" s="278"/>
      <c r="G4" s="200" t="s">
        <v>216</v>
      </c>
      <c r="H4" s="200" t="s">
        <v>217</v>
      </c>
      <c r="I4" s="200" t="s">
        <v>218</v>
      </c>
      <c r="J4" s="201" t="s">
        <v>257</v>
      </c>
      <c r="K4" s="201" t="s">
        <v>284</v>
      </c>
      <c r="L4" s="201" t="s">
        <v>286</v>
      </c>
      <c r="M4" s="202" t="s">
        <v>256</v>
      </c>
      <c r="N4" s="202" t="s">
        <v>222</v>
      </c>
      <c r="O4" s="273"/>
      <c r="P4" s="271"/>
      <c r="Q4" s="203"/>
      <c r="R4" s="278"/>
      <c r="S4" s="264"/>
      <c r="T4" s="277"/>
      <c r="U4" s="271"/>
      <c r="V4" s="271"/>
      <c r="W4" s="271"/>
      <c r="X4" s="271"/>
      <c r="Y4" s="271"/>
    </row>
    <row r="5" spans="1:25" s="220" customFormat="1" ht="12.75" x14ac:dyDescent="0.25">
      <c r="A5" s="213">
        <v>1</v>
      </c>
      <c r="B5" s="214">
        <v>2</v>
      </c>
      <c r="C5" s="215">
        <v>3</v>
      </c>
      <c r="D5" s="215">
        <v>4</v>
      </c>
      <c r="E5" s="215">
        <v>5</v>
      </c>
      <c r="F5" s="217">
        <v>6</v>
      </c>
      <c r="G5" s="215">
        <v>7</v>
      </c>
      <c r="H5" s="215">
        <v>8</v>
      </c>
      <c r="I5" s="215">
        <v>9</v>
      </c>
      <c r="J5" s="215">
        <v>10</v>
      </c>
      <c r="K5" s="215">
        <v>11</v>
      </c>
      <c r="L5" s="215">
        <v>12</v>
      </c>
      <c r="M5" s="215"/>
      <c r="N5" s="215"/>
      <c r="O5" s="215">
        <v>13</v>
      </c>
      <c r="P5" s="215">
        <v>14</v>
      </c>
      <c r="Q5" s="218"/>
      <c r="R5" s="215">
        <v>15</v>
      </c>
      <c r="S5" s="215">
        <v>16</v>
      </c>
      <c r="T5" s="215">
        <v>17</v>
      </c>
      <c r="U5" s="215">
        <v>18</v>
      </c>
      <c r="V5" s="215">
        <v>19</v>
      </c>
      <c r="W5" s="215">
        <v>20</v>
      </c>
      <c r="X5" s="215">
        <v>21</v>
      </c>
      <c r="Y5" s="219">
        <v>18</v>
      </c>
    </row>
    <row r="6" spans="1:25" x14ac:dyDescent="0.25">
      <c r="A6" s="89" t="s">
        <v>18</v>
      </c>
      <c r="B6" s="85" t="s">
        <v>19</v>
      </c>
      <c r="C6" s="57" t="s">
        <v>20</v>
      </c>
      <c r="D6" s="57" t="s">
        <v>20</v>
      </c>
      <c r="E6" s="25">
        <f>F6+G6+H6+I6+M6+N6+P6+J6+S6+T6+U6+V6+W6+X6+Y6</f>
        <v>0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150"/>
      <c r="R6" s="150"/>
      <c r="S6" s="25"/>
      <c r="T6" s="25"/>
      <c r="U6" s="25"/>
      <c r="V6" s="25"/>
      <c r="W6" s="25"/>
      <c r="X6" s="25"/>
      <c r="Y6" s="25"/>
    </row>
    <row r="7" spans="1:25" s="110" customFormat="1" ht="22.5" customHeight="1" x14ac:dyDescent="0.25">
      <c r="A7" s="68" t="s">
        <v>21</v>
      </c>
      <c r="B7" s="5" t="s">
        <v>22</v>
      </c>
      <c r="C7" s="18" t="s">
        <v>20</v>
      </c>
      <c r="D7" s="18" t="s">
        <v>20</v>
      </c>
      <c r="E7" s="20">
        <f>+E6+E8-E33</f>
        <v>0</v>
      </c>
      <c r="F7" s="25">
        <f>+F6+F8-F33</f>
        <v>0</v>
      </c>
      <c r="G7" s="20">
        <f>+G6+G8-G33</f>
        <v>0</v>
      </c>
      <c r="H7" s="20">
        <f t="shared" ref="H7:Y7" si="0">+H6+H8-H33</f>
        <v>0</v>
      </c>
      <c r="I7" s="20">
        <f t="shared" si="0"/>
        <v>0</v>
      </c>
      <c r="J7" s="20">
        <f t="shared" si="0"/>
        <v>0</v>
      </c>
      <c r="K7" s="20">
        <f t="shared" si="0"/>
        <v>0</v>
      </c>
      <c r="L7" s="20">
        <f t="shared" si="0"/>
        <v>0</v>
      </c>
      <c r="M7" s="20">
        <f t="shared" si="0"/>
        <v>0</v>
      </c>
      <c r="N7" s="20">
        <f>+N6+N8-N33</f>
        <v>0</v>
      </c>
      <c r="O7" s="20">
        <f>+O6+O8-O33</f>
        <v>0</v>
      </c>
      <c r="P7" s="20">
        <f t="shared" si="0"/>
        <v>0</v>
      </c>
      <c r="Q7" s="20">
        <f t="shared" si="0"/>
        <v>0</v>
      </c>
      <c r="R7" s="20">
        <f t="shared" si="0"/>
        <v>0</v>
      </c>
      <c r="S7" s="20">
        <f t="shared" si="0"/>
        <v>0</v>
      </c>
      <c r="T7" s="20">
        <f t="shared" si="0"/>
        <v>0</v>
      </c>
      <c r="U7" s="20">
        <f t="shared" si="0"/>
        <v>0</v>
      </c>
      <c r="V7" s="20">
        <f t="shared" si="0"/>
        <v>0</v>
      </c>
      <c r="W7" s="20">
        <f t="shared" si="0"/>
        <v>0</v>
      </c>
      <c r="X7" s="20">
        <f t="shared" si="0"/>
        <v>0</v>
      </c>
      <c r="Y7" s="20">
        <f t="shared" si="0"/>
        <v>0</v>
      </c>
    </row>
    <row r="8" spans="1:25" s="26" customFormat="1" x14ac:dyDescent="0.25">
      <c r="A8" s="96" t="s">
        <v>23</v>
      </c>
      <c r="B8" s="97" t="s">
        <v>29</v>
      </c>
      <c r="C8" s="98"/>
      <c r="D8" s="108"/>
      <c r="E8" s="109">
        <f>+E9+E11+E15+E18+E20+E27</f>
        <v>48884197.299999997</v>
      </c>
      <c r="F8" s="109">
        <f>+F9+F11+F15+F18+F20+F27</f>
        <v>42289628</v>
      </c>
      <c r="G8" s="109">
        <f t="shared" ref="G8:L8" si="1">+G9+G11+G15+G18+G20+G27</f>
        <v>834216</v>
      </c>
      <c r="H8" s="109">
        <f t="shared" si="1"/>
        <v>0</v>
      </c>
      <c r="I8" s="109">
        <f t="shared" si="1"/>
        <v>0</v>
      </c>
      <c r="J8" s="109">
        <f t="shared" si="1"/>
        <v>3107200</v>
      </c>
      <c r="K8" s="109">
        <f t="shared" si="1"/>
        <v>0</v>
      </c>
      <c r="L8" s="109">
        <f t="shared" si="1"/>
        <v>0</v>
      </c>
      <c r="M8" s="109">
        <f t="shared" ref="M8:Y8" si="2">+M9+M11+M15+M18+M20+M27</f>
        <v>0</v>
      </c>
      <c r="N8" s="109">
        <f t="shared" si="2"/>
        <v>0</v>
      </c>
      <c r="O8" s="109">
        <f>+O9+O11+O15+O18+O20+O27</f>
        <v>28367</v>
      </c>
      <c r="P8" s="109">
        <f t="shared" si="2"/>
        <v>0</v>
      </c>
      <c r="Q8" s="109">
        <f t="shared" si="2"/>
        <v>0</v>
      </c>
      <c r="R8" s="109">
        <f t="shared" si="2"/>
        <v>691186.3</v>
      </c>
      <c r="S8" s="109">
        <f t="shared" si="2"/>
        <v>0</v>
      </c>
      <c r="T8" s="109">
        <f>+T9+T11+T15+T18+T20+T27</f>
        <v>0</v>
      </c>
      <c r="U8" s="109">
        <f t="shared" ref="U8:W8" si="3">+U9+U11+U15+U18+U20+U27</f>
        <v>1213600</v>
      </c>
      <c r="V8" s="109">
        <f>+V9+V11+V15+V18+V20+V27</f>
        <v>400000</v>
      </c>
      <c r="W8" s="109">
        <f t="shared" si="3"/>
        <v>320000</v>
      </c>
      <c r="X8" s="109">
        <f>X9+X11+X15+X20+X25+X27</f>
        <v>0</v>
      </c>
      <c r="Y8" s="109">
        <f t="shared" si="2"/>
        <v>0</v>
      </c>
    </row>
    <row r="9" spans="1:25" ht="30" x14ac:dyDescent="0.25">
      <c r="A9" s="91" t="s">
        <v>254</v>
      </c>
      <c r="B9" s="87" t="s">
        <v>31</v>
      </c>
      <c r="C9" s="23">
        <v>120</v>
      </c>
      <c r="D9" s="27"/>
      <c r="E9" s="24">
        <f>V9+W9</f>
        <v>720000</v>
      </c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150"/>
      <c r="R9" s="150"/>
      <c r="S9" s="24"/>
      <c r="T9" s="24"/>
      <c r="U9" s="24"/>
      <c r="V9" s="24">
        <f>V33</f>
        <v>400000</v>
      </c>
      <c r="W9" s="24">
        <f>W33</f>
        <v>320000</v>
      </c>
      <c r="X9" s="24"/>
      <c r="Y9" s="24"/>
    </row>
    <row r="10" spans="1:25" s="44" customFormat="1" ht="16.5" customHeight="1" x14ac:dyDescent="0.25">
      <c r="A10" s="66" t="s">
        <v>24</v>
      </c>
      <c r="B10" s="3" t="s">
        <v>32</v>
      </c>
      <c r="C10" s="19"/>
      <c r="D10" s="21"/>
      <c r="E10" s="22"/>
      <c r="F10" s="24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150"/>
      <c r="R10" s="150"/>
      <c r="S10" s="22"/>
      <c r="T10" s="22"/>
      <c r="U10" s="22"/>
      <c r="V10" s="22"/>
      <c r="W10" s="22"/>
      <c r="X10" s="22"/>
      <c r="Y10" s="22"/>
    </row>
    <row r="11" spans="1:25" s="26" customFormat="1" ht="35.25" customHeight="1" x14ac:dyDescent="0.25">
      <c r="A11" s="93" t="s">
        <v>25</v>
      </c>
      <c r="B11" s="86" t="s">
        <v>33</v>
      </c>
      <c r="C11" s="37">
        <v>130</v>
      </c>
      <c r="D11" s="38"/>
      <c r="E11" s="39">
        <f>+E12+E13+E14</f>
        <v>43503228</v>
      </c>
      <c r="F11" s="39">
        <f t="shared" ref="F11:L11" si="4">+F12+F13+F14</f>
        <v>42289628</v>
      </c>
      <c r="G11" s="39">
        <f t="shared" si="4"/>
        <v>0</v>
      </c>
      <c r="H11" s="39">
        <f t="shared" si="4"/>
        <v>0</v>
      </c>
      <c r="I11" s="39">
        <f t="shared" si="4"/>
        <v>0</v>
      </c>
      <c r="J11" s="39">
        <f t="shared" si="4"/>
        <v>0</v>
      </c>
      <c r="K11" s="39">
        <f t="shared" si="4"/>
        <v>0</v>
      </c>
      <c r="L11" s="39">
        <f t="shared" si="4"/>
        <v>0</v>
      </c>
      <c r="M11" s="39">
        <f t="shared" ref="M11:Y11" si="5">+M12+M13+M14</f>
        <v>0</v>
      </c>
      <c r="N11" s="39">
        <f t="shared" si="5"/>
        <v>0</v>
      </c>
      <c r="O11" s="39">
        <f>+O12+O13+O14</f>
        <v>0</v>
      </c>
      <c r="P11" s="39">
        <f t="shared" si="5"/>
        <v>0</v>
      </c>
      <c r="Q11" s="39">
        <f t="shared" si="5"/>
        <v>0</v>
      </c>
      <c r="R11" s="39">
        <f t="shared" si="5"/>
        <v>0</v>
      </c>
      <c r="S11" s="39">
        <f t="shared" si="5"/>
        <v>0</v>
      </c>
      <c r="T11" s="39">
        <f t="shared" si="5"/>
        <v>0</v>
      </c>
      <c r="U11" s="39">
        <f t="shared" si="5"/>
        <v>1213600</v>
      </c>
      <c r="V11" s="39">
        <f t="shared" si="5"/>
        <v>0</v>
      </c>
      <c r="W11" s="39">
        <f t="shared" si="5"/>
        <v>0</v>
      </c>
      <c r="X11" s="39">
        <f t="shared" si="5"/>
        <v>0</v>
      </c>
      <c r="Y11" s="39">
        <f t="shared" si="5"/>
        <v>0</v>
      </c>
    </row>
    <row r="12" spans="1:25" s="80" customFormat="1" ht="77.25" customHeight="1" x14ac:dyDescent="0.25">
      <c r="A12" s="94" t="s">
        <v>34</v>
      </c>
      <c r="B12" s="87" t="s">
        <v>35</v>
      </c>
      <c r="C12" s="23">
        <v>130</v>
      </c>
      <c r="D12" s="27"/>
      <c r="E12" s="24">
        <f>F12</f>
        <v>42289628</v>
      </c>
      <c r="F12" s="24">
        <f>F33-F6</f>
        <v>42289628</v>
      </c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150"/>
      <c r="R12" s="150"/>
      <c r="S12" s="24"/>
      <c r="T12" s="24"/>
      <c r="U12" s="24"/>
      <c r="V12" s="24"/>
      <c r="W12" s="24"/>
      <c r="X12" s="24"/>
      <c r="Y12" s="24"/>
    </row>
    <row r="13" spans="1:25" s="26" customFormat="1" ht="66" customHeight="1" x14ac:dyDescent="0.25">
      <c r="A13" s="142" t="s">
        <v>26</v>
      </c>
      <c r="B13" s="103" t="s">
        <v>36</v>
      </c>
      <c r="C13" s="104">
        <v>130</v>
      </c>
      <c r="D13" s="106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52"/>
      <c r="R13" s="152"/>
      <c r="S13" s="107"/>
      <c r="T13" s="107"/>
      <c r="U13" s="107"/>
      <c r="V13" s="107"/>
      <c r="W13" s="107"/>
      <c r="X13" s="107"/>
      <c r="Y13" s="107"/>
    </row>
    <row r="14" spans="1:25" ht="30" x14ac:dyDescent="0.25">
      <c r="A14" s="94" t="s">
        <v>210</v>
      </c>
      <c r="B14" s="87" t="s">
        <v>205</v>
      </c>
      <c r="C14" s="23">
        <v>130</v>
      </c>
      <c r="D14" s="27"/>
      <c r="E14" s="24">
        <f>T14+U14</f>
        <v>1213600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150"/>
      <c r="R14" s="150"/>
      <c r="S14" s="24"/>
      <c r="T14" s="24">
        <f>T33-T6</f>
        <v>0</v>
      </c>
      <c r="U14" s="24">
        <f>U33-U6</f>
        <v>1213600</v>
      </c>
      <c r="V14" s="24"/>
      <c r="W14" s="24"/>
      <c r="X14" s="24"/>
      <c r="Y14" s="24"/>
    </row>
    <row r="15" spans="1:25" ht="28.5" x14ac:dyDescent="0.25">
      <c r="A15" s="68" t="s">
        <v>27</v>
      </c>
      <c r="B15" s="5" t="s">
        <v>37</v>
      </c>
      <c r="C15" s="18">
        <v>140</v>
      </c>
      <c r="D15" s="28"/>
      <c r="E15" s="20">
        <f>+E16+E17</f>
        <v>0</v>
      </c>
      <c r="F15" s="25">
        <f>+F16+F17</f>
        <v>0</v>
      </c>
      <c r="G15" s="20">
        <f t="shared" ref="G15:L15" si="6">+G16+G17</f>
        <v>0</v>
      </c>
      <c r="H15" s="20">
        <f t="shared" si="6"/>
        <v>0</v>
      </c>
      <c r="I15" s="20">
        <f t="shared" si="6"/>
        <v>0</v>
      </c>
      <c r="J15" s="20">
        <f t="shared" si="6"/>
        <v>0</v>
      </c>
      <c r="K15" s="20">
        <f t="shared" si="6"/>
        <v>0</v>
      </c>
      <c r="L15" s="20">
        <f t="shared" si="6"/>
        <v>0</v>
      </c>
      <c r="M15" s="20">
        <f t="shared" ref="M15:Y15" si="7">+M16+M17</f>
        <v>0</v>
      </c>
      <c r="N15" s="20">
        <f t="shared" si="7"/>
        <v>0</v>
      </c>
      <c r="O15" s="20">
        <f>+O16+O17</f>
        <v>0</v>
      </c>
      <c r="P15" s="20">
        <f t="shared" si="7"/>
        <v>0</v>
      </c>
      <c r="Q15" s="20">
        <f t="shared" si="7"/>
        <v>0</v>
      </c>
      <c r="R15" s="20">
        <f t="shared" si="7"/>
        <v>0</v>
      </c>
      <c r="S15" s="20">
        <f t="shared" si="7"/>
        <v>0</v>
      </c>
      <c r="T15" s="20">
        <f t="shared" si="7"/>
        <v>0</v>
      </c>
      <c r="U15" s="20">
        <f t="shared" si="7"/>
        <v>0</v>
      </c>
      <c r="V15" s="20">
        <f t="shared" si="7"/>
        <v>0</v>
      </c>
      <c r="W15" s="20">
        <f t="shared" si="7"/>
        <v>0</v>
      </c>
      <c r="X15" s="20">
        <f t="shared" si="7"/>
        <v>0</v>
      </c>
      <c r="Y15" s="20">
        <f t="shared" si="7"/>
        <v>0</v>
      </c>
    </row>
    <row r="16" spans="1:25" ht="15" hidden="1" customHeight="1" x14ac:dyDescent="0.25">
      <c r="A16" s="71" t="s">
        <v>24</v>
      </c>
      <c r="B16" s="3" t="s">
        <v>38</v>
      </c>
      <c r="C16" s="19">
        <v>140</v>
      </c>
      <c r="D16" s="21"/>
      <c r="E16" s="22"/>
      <c r="F16" s="24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1"/>
      <c r="R16" s="21"/>
      <c r="S16" s="22"/>
      <c r="T16" s="22"/>
      <c r="U16" s="22"/>
      <c r="V16" s="22"/>
      <c r="W16" s="22"/>
      <c r="X16" s="22"/>
      <c r="Y16" s="22"/>
    </row>
    <row r="17" spans="1:26" ht="15" hidden="1" customHeight="1" x14ac:dyDescent="0.25">
      <c r="A17" s="66"/>
      <c r="B17" s="3"/>
      <c r="C17" s="19"/>
      <c r="D17" s="21"/>
      <c r="E17" s="22"/>
      <c r="F17" s="24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1"/>
      <c r="R17" s="21"/>
      <c r="S17" s="22"/>
      <c r="T17" s="22"/>
      <c r="U17" s="22"/>
      <c r="V17" s="22"/>
      <c r="W17" s="22"/>
      <c r="X17" s="22"/>
      <c r="Y17" s="22"/>
      <c r="Z17" s="17" t="s">
        <v>212</v>
      </c>
    </row>
    <row r="18" spans="1:26" ht="15" hidden="1" customHeight="1" x14ac:dyDescent="0.25">
      <c r="A18" s="199"/>
      <c r="B18" s="203"/>
      <c r="C18" s="203"/>
      <c r="D18" s="58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1"/>
      <c r="R18" s="21"/>
      <c r="S18" s="25"/>
      <c r="T18" s="25"/>
      <c r="U18" s="25"/>
      <c r="V18" s="25"/>
      <c r="W18" s="25"/>
      <c r="X18" s="25"/>
      <c r="Y18" s="25"/>
    </row>
    <row r="19" spans="1:26" s="44" customFormat="1" ht="15" hidden="1" customHeight="1" x14ac:dyDescent="0.25">
      <c r="A19" s="66"/>
      <c r="B19" s="3"/>
      <c r="C19" s="19"/>
      <c r="D19" s="21"/>
      <c r="E19" s="22"/>
      <c r="F19" s="24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1"/>
      <c r="R19" s="21"/>
      <c r="S19" s="22"/>
      <c r="T19" s="22"/>
      <c r="U19" s="22"/>
      <c r="V19" s="22"/>
      <c r="W19" s="22"/>
      <c r="X19" s="22"/>
      <c r="Y19" s="22"/>
    </row>
    <row r="20" spans="1:26" s="26" customFormat="1" x14ac:dyDescent="0.25">
      <c r="A20" s="90" t="s">
        <v>28</v>
      </c>
      <c r="B20" s="86" t="s">
        <v>39</v>
      </c>
      <c r="C20" s="37">
        <v>150</v>
      </c>
      <c r="D20" s="38"/>
      <c r="E20" s="39">
        <f>E21+E23+E24</f>
        <v>4660969.3</v>
      </c>
      <c r="F20" s="39">
        <f t="shared" ref="F20:I20" si="8">F21+F23+F24</f>
        <v>0</v>
      </c>
      <c r="G20" s="39">
        <f t="shared" si="8"/>
        <v>834216</v>
      </c>
      <c r="H20" s="39">
        <f t="shared" si="8"/>
        <v>0</v>
      </c>
      <c r="I20" s="39">
        <f t="shared" si="8"/>
        <v>0</v>
      </c>
      <c r="J20" s="39">
        <f>J21+J23+J24</f>
        <v>3107200</v>
      </c>
      <c r="K20" s="39">
        <f>K21+K23+K24</f>
        <v>0</v>
      </c>
      <c r="L20" s="39">
        <f>L21+L23+L24</f>
        <v>0</v>
      </c>
      <c r="M20" s="39">
        <f t="shared" ref="M20:Y20" si="9">M21+M23+M24</f>
        <v>0</v>
      </c>
      <c r="N20" s="39">
        <f t="shared" si="9"/>
        <v>0</v>
      </c>
      <c r="O20" s="39">
        <f>O21+O23+O24</f>
        <v>28367</v>
      </c>
      <c r="P20" s="39">
        <f t="shared" si="9"/>
        <v>0</v>
      </c>
      <c r="Q20" s="39">
        <f t="shared" si="9"/>
        <v>0</v>
      </c>
      <c r="R20" s="39">
        <f t="shared" si="9"/>
        <v>691186.3</v>
      </c>
      <c r="S20" s="39">
        <f t="shared" si="9"/>
        <v>0</v>
      </c>
      <c r="T20" s="39">
        <f t="shared" si="9"/>
        <v>0</v>
      </c>
      <c r="U20" s="39">
        <f t="shared" si="9"/>
        <v>0</v>
      </c>
      <c r="V20" s="39">
        <f t="shared" si="9"/>
        <v>0</v>
      </c>
      <c r="W20" s="39">
        <f t="shared" si="9"/>
        <v>0</v>
      </c>
      <c r="X20" s="39">
        <f t="shared" si="9"/>
        <v>0</v>
      </c>
      <c r="Y20" s="39">
        <f t="shared" si="9"/>
        <v>0</v>
      </c>
    </row>
    <row r="21" spans="1:26" ht="32.25" customHeight="1" x14ac:dyDescent="0.25">
      <c r="A21" s="94" t="s">
        <v>48</v>
      </c>
      <c r="B21" s="87" t="s">
        <v>227</v>
      </c>
      <c r="C21" s="23">
        <v>150</v>
      </c>
      <c r="D21" s="27"/>
      <c r="E21" s="24">
        <f>F21+G21+H21+I21+J21+O21+K21+L21+P21+R21</f>
        <v>4660969.3</v>
      </c>
      <c r="F21" s="24">
        <f>+F22+F23+F24</f>
        <v>0</v>
      </c>
      <c r="G21" s="24">
        <f>G33</f>
        <v>834216</v>
      </c>
      <c r="H21" s="24">
        <f t="shared" ref="H21:L21" si="10">H33</f>
        <v>0</v>
      </c>
      <c r="I21" s="24">
        <f t="shared" si="10"/>
        <v>0</v>
      </c>
      <c r="J21" s="24">
        <f t="shared" si="10"/>
        <v>3107200</v>
      </c>
      <c r="K21" s="24">
        <f t="shared" si="10"/>
        <v>0</v>
      </c>
      <c r="L21" s="24">
        <f t="shared" si="10"/>
        <v>0</v>
      </c>
      <c r="M21" s="24">
        <f t="shared" ref="M21:R21" si="11">M33</f>
        <v>0</v>
      </c>
      <c r="N21" s="24">
        <f t="shared" si="11"/>
        <v>0</v>
      </c>
      <c r="O21" s="24">
        <f>O33</f>
        <v>28367</v>
      </c>
      <c r="P21" s="24">
        <f t="shared" si="11"/>
        <v>0</v>
      </c>
      <c r="Q21" s="24">
        <f t="shared" si="11"/>
        <v>0</v>
      </c>
      <c r="R21" s="24">
        <f t="shared" si="11"/>
        <v>691186.3</v>
      </c>
      <c r="S21" s="24"/>
      <c r="T21" s="24"/>
      <c r="U21" s="24"/>
      <c r="V21" s="24"/>
      <c r="W21" s="24"/>
      <c r="X21" s="24"/>
      <c r="Y21" s="24"/>
    </row>
    <row r="22" spans="1:26" ht="15" hidden="1" customHeight="1" x14ac:dyDescent="0.25">
      <c r="A22" s="71"/>
      <c r="B22" s="3"/>
      <c r="C22" s="19"/>
      <c r="D22" s="21"/>
      <c r="E22" s="22"/>
      <c r="F22" s="24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03"/>
      <c r="R22" s="203"/>
      <c r="S22" s="22"/>
      <c r="T22" s="22"/>
      <c r="U22" s="22"/>
      <c r="V22" s="22"/>
      <c r="W22" s="22"/>
      <c r="X22" s="22"/>
      <c r="Y22" s="22"/>
    </row>
    <row r="23" spans="1:26" s="26" customFormat="1" x14ac:dyDescent="0.25">
      <c r="A23" s="71" t="s">
        <v>42</v>
      </c>
      <c r="B23" s="3" t="s">
        <v>228</v>
      </c>
      <c r="C23" s="19">
        <v>150</v>
      </c>
      <c r="D23" s="21"/>
      <c r="E23" s="22"/>
      <c r="F23" s="24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03"/>
      <c r="R23" s="203"/>
      <c r="S23" s="22"/>
      <c r="T23" s="22"/>
      <c r="U23" s="22"/>
      <c r="V23" s="22"/>
      <c r="W23" s="22"/>
      <c r="X23" s="22"/>
      <c r="Y23" s="22"/>
    </row>
    <row r="24" spans="1:26" ht="30" x14ac:dyDescent="0.25">
      <c r="A24" s="94" t="s">
        <v>229</v>
      </c>
      <c r="B24" s="87" t="s">
        <v>230</v>
      </c>
      <c r="C24" s="23">
        <v>150</v>
      </c>
      <c r="D24" s="27"/>
      <c r="E24" s="24">
        <f>X24+Y24</f>
        <v>0</v>
      </c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150"/>
      <c r="R24" s="150"/>
      <c r="S24" s="24"/>
      <c r="T24" s="24"/>
      <c r="U24" s="24"/>
      <c r="V24" s="24"/>
      <c r="W24" s="24"/>
      <c r="X24" s="24">
        <f>X33</f>
        <v>0</v>
      </c>
      <c r="Y24" s="24">
        <f>Y33</f>
        <v>0</v>
      </c>
    </row>
    <row r="25" spans="1:26" ht="15" hidden="1" customHeight="1" x14ac:dyDescent="0.25">
      <c r="A25" s="68" t="s">
        <v>40</v>
      </c>
      <c r="B25" s="5" t="s">
        <v>41</v>
      </c>
      <c r="C25" s="18">
        <v>180</v>
      </c>
      <c r="D25" s="27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03"/>
      <c r="R25" s="203"/>
      <c r="S25" s="24"/>
      <c r="T25" s="24"/>
      <c r="U25" s="24"/>
      <c r="V25" s="24"/>
      <c r="W25" s="24"/>
      <c r="X25" s="24"/>
      <c r="Y25" s="24"/>
    </row>
    <row r="26" spans="1:26" ht="15" hidden="1" customHeight="1" x14ac:dyDescent="0.25">
      <c r="A26" s="71"/>
      <c r="B26" s="3"/>
      <c r="C26" s="19"/>
      <c r="D26" s="24"/>
      <c r="E26" s="25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1"/>
      <c r="R26" s="21"/>
      <c r="S26" s="24"/>
      <c r="T26" s="24"/>
      <c r="U26" s="24"/>
      <c r="V26" s="24"/>
      <c r="W26" s="24"/>
      <c r="X26" s="24"/>
      <c r="Y26" s="24"/>
    </row>
    <row r="27" spans="1:26" ht="28.5" x14ac:dyDescent="0.25">
      <c r="A27" s="68" t="s">
        <v>43</v>
      </c>
      <c r="B27" s="5" t="s">
        <v>44</v>
      </c>
      <c r="C27" s="18"/>
      <c r="D27" s="28"/>
      <c r="E27" s="20"/>
      <c r="F27" s="25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1"/>
      <c r="R27" s="21"/>
      <c r="S27" s="20"/>
      <c r="T27" s="20"/>
      <c r="U27" s="20"/>
      <c r="V27" s="20"/>
      <c r="W27" s="20"/>
      <c r="X27" s="20"/>
      <c r="Y27" s="20"/>
    </row>
    <row r="28" spans="1:26" ht="15" hidden="1" customHeight="1" x14ac:dyDescent="0.25">
      <c r="A28" s="66" t="s">
        <v>24</v>
      </c>
      <c r="B28" s="3"/>
      <c r="C28" s="19"/>
      <c r="D28" s="21"/>
      <c r="E28" s="22"/>
      <c r="F28" s="24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1"/>
      <c r="R28" s="21"/>
      <c r="S28" s="22"/>
      <c r="T28" s="22"/>
      <c r="U28" s="22"/>
      <c r="V28" s="22"/>
      <c r="W28" s="22"/>
      <c r="X28" s="22"/>
      <c r="Y28" s="22"/>
    </row>
    <row r="29" spans="1:26" ht="15" hidden="1" customHeight="1" x14ac:dyDescent="0.25">
      <c r="A29" s="66"/>
      <c r="B29" s="3"/>
      <c r="C29" s="19"/>
      <c r="D29" s="21"/>
      <c r="E29" s="22"/>
      <c r="F29" s="24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1"/>
      <c r="R29" s="21"/>
      <c r="S29" s="22"/>
      <c r="T29" s="22"/>
      <c r="U29" s="22"/>
      <c r="V29" s="22"/>
      <c r="W29" s="22"/>
      <c r="X29" s="22"/>
      <c r="Y29" s="22"/>
    </row>
    <row r="30" spans="1:26" ht="15" customHeight="1" x14ac:dyDescent="0.25">
      <c r="A30" s="66" t="s">
        <v>45</v>
      </c>
      <c r="B30" s="3" t="s">
        <v>46</v>
      </c>
      <c r="C30" s="19" t="s">
        <v>20</v>
      </c>
      <c r="D30" s="21"/>
      <c r="E30" s="22"/>
      <c r="F30" s="24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1"/>
      <c r="R30" s="21"/>
      <c r="S30" s="22"/>
      <c r="T30" s="22"/>
      <c r="U30" s="22"/>
      <c r="V30" s="22"/>
      <c r="W30" s="22"/>
      <c r="X30" s="22"/>
      <c r="Y30" s="22"/>
    </row>
    <row r="31" spans="1:26" ht="15" hidden="1" customHeight="1" x14ac:dyDescent="0.25">
      <c r="A31" s="92" t="s">
        <v>278</v>
      </c>
      <c r="B31" s="3" t="s">
        <v>47</v>
      </c>
      <c r="C31" s="19">
        <v>510</v>
      </c>
      <c r="D31" s="21"/>
      <c r="E31" s="22"/>
      <c r="F31" s="24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1"/>
      <c r="R31" s="21"/>
      <c r="S31" s="22"/>
      <c r="T31" s="22"/>
      <c r="U31" s="22"/>
      <c r="V31" s="22"/>
      <c r="W31" s="22"/>
      <c r="X31" s="22"/>
      <c r="Y31" s="22"/>
    </row>
    <row r="32" spans="1:26" s="110" customFormat="1" ht="22.5" hidden="1" customHeight="1" x14ac:dyDescent="0.25">
      <c r="A32" s="66"/>
      <c r="B32" s="3"/>
      <c r="C32" s="19"/>
      <c r="D32" s="21"/>
      <c r="E32" s="22"/>
      <c r="F32" s="24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1"/>
      <c r="R32" s="21"/>
      <c r="S32" s="22"/>
      <c r="T32" s="22"/>
      <c r="U32" s="22"/>
      <c r="V32" s="22"/>
      <c r="W32" s="22"/>
      <c r="X32" s="22"/>
      <c r="Y32" s="22"/>
    </row>
    <row r="33" spans="1:25" s="44" customFormat="1" ht="22.5" customHeight="1" x14ac:dyDescent="0.25">
      <c r="A33" s="96" t="s">
        <v>49</v>
      </c>
      <c r="B33" s="97" t="s">
        <v>52</v>
      </c>
      <c r="C33" s="98" t="s">
        <v>20</v>
      </c>
      <c r="D33" s="108"/>
      <c r="E33" s="109">
        <f>+E34+E46+E53+E57+E64+E66+E83+E87</f>
        <v>48884197.300000004</v>
      </c>
      <c r="F33" s="109">
        <f>+F34+F46+F53+F57+F64+F66+F83+F87</f>
        <v>42289628</v>
      </c>
      <c r="G33" s="109">
        <f t="shared" ref="G33:L33" si="12">+G34+G46+G53+G57+G64+G66+G83+G87</f>
        <v>834216</v>
      </c>
      <c r="H33" s="109">
        <f t="shared" si="12"/>
        <v>0</v>
      </c>
      <c r="I33" s="109">
        <f t="shared" si="12"/>
        <v>0</v>
      </c>
      <c r="J33" s="109">
        <f t="shared" si="12"/>
        <v>3107200</v>
      </c>
      <c r="K33" s="109">
        <f t="shared" si="12"/>
        <v>0</v>
      </c>
      <c r="L33" s="109">
        <f t="shared" si="12"/>
        <v>0</v>
      </c>
      <c r="M33" s="109">
        <f t="shared" ref="M33:Y33" si="13">+M34+M46+M53+M57+M64+M66+M83+M87</f>
        <v>0</v>
      </c>
      <c r="N33" s="109">
        <f t="shared" si="13"/>
        <v>0</v>
      </c>
      <c r="O33" s="109">
        <f>+O34+O46+O53+O57+O64+O66+O83+O87</f>
        <v>28367</v>
      </c>
      <c r="P33" s="109">
        <f t="shared" si="13"/>
        <v>0</v>
      </c>
      <c r="Q33" s="109">
        <f t="shared" si="13"/>
        <v>0</v>
      </c>
      <c r="R33" s="109">
        <f t="shared" si="13"/>
        <v>691186.3</v>
      </c>
      <c r="S33" s="109">
        <f t="shared" si="13"/>
        <v>0</v>
      </c>
      <c r="T33" s="109">
        <f t="shared" si="13"/>
        <v>0</v>
      </c>
      <c r="U33" s="109">
        <f t="shared" si="13"/>
        <v>1213600</v>
      </c>
      <c r="V33" s="109">
        <f t="shared" si="13"/>
        <v>400000</v>
      </c>
      <c r="W33" s="109">
        <f t="shared" si="13"/>
        <v>320000</v>
      </c>
      <c r="X33" s="109">
        <f t="shared" si="13"/>
        <v>0</v>
      </c>
      <c r="Y33" s="109">
        <f t="shared" si="13"/>
        <v>0</v>
      </c>
    </row>
    <row r="34" spans="1:25" s="26" customFormat="1" ht="28.5" x14ac:dyDescent="0.25">
      <c r="A34" s="90" t="s">
        <v>50</v>
      </c>
      <c r="B34" s="86" t="s">
        <v>53</v>
      </c>
      <c r="C34" s="37" t="s">
        <v>20</v>
      </c>
      <c r="D34" s="38"/>
      <c r="E34" s="39">
        <f>+E35+E36+E38+E41+E42+E43</f>
        <v>43280221.170000002</v>
      </c>
      <c r="F34" s="39">
        <f>+F35+F36+F38+F41+F42+F43</f>
        <v>41717368</v>
      </c>
      <c r="G34" s="39">
        <f t="shared" ref="G34:L34" si="14">+G35+G38+G41+G42+G43</f>
        <v>0</v>
      </c>
      <c r="H34" s="39">
        <f t="shared" si="14"/>
        <v>0</v>
      </c>
      <c r="I34" s="39">
        <f t="shared" si="14"/>
        <v>0</v>
      </c>
      <c r="J34" s="39">
        <f t="shared" si="14"/>
        <v>0</v>
      </c>
      <c r="K34" s="39">
        <f t="shared" si="14"/>
        <v>0</v>
      </c>
      <c r="L34" s="39">
        <f t="shared" si="14"/>
        <v>0</v>
      </c>
      <c r="M34" s="39">
        <f t="shared" ref="M34:Y34" si="15">+M35+M38+M41+M42+M43</f>
        <v>0</v>
      </c>
      <c r="N34" s="39">
        <f t="shared" si="15"/>
        <v>0</v>
      </c>
      <c r="O34" s="39">
        <f>+O35+O38+O41+O42+O43</f>
        <v>0</v>
      </c>
      <c r="P34" s="39">
        <f t="shared" si="15"/>
        <v>0</v>
      </c>
      <c r="Q34" s="39">
        <f t="shared" si="15"/>
        <v>0</v>
      </c>
      <c r="R34" s="39">
        <f t="shared" si="15"/>
        <v>691186.3</v>
      </c>
      <c r="S34" s="39">
        <f t="shared" si="15"/>
        <v>0</v>
      </c>
      <c r="T34" s="39">
        <f t="shared" si="15"/>
        <v>0</v>
      </c>
      <c r="U34" s="39">
        <f t="shared" ref="U34:W34" si="16">+U35+U36+U38+U41+U42+U43</f>
        <v>871666.87</v>
      </c>
      <c r="V34" s="39">
        <f t="shared" si="16"/>
        <v>0</v>
      </c>
      <c r="W34" s="39">
        <f t="shared" si="16"/>
        <v>0</v>
      </c>
      <c r="X34" s="39">
        <f t="shared" si="15"/>
        <v>0</v>
      </c>
      <c r="Y34" s="39">
        <f t="shared" si="15"/>
        <v>0</v>
      </c>
    </row>
    <row r="35" spans="1:25" s="26" customFormat="1" ht="30" x14ac:dyDescent="0.25">
      <c r="A35" s="94" t="s">
        <v>51</v>
      </c>
      <c r="B35" s="87" t="s">
        <v>54</v>
      </c>
      <c r="C35" s="23">
        <v>111</v>
      </c>
      <c r="D35" s="27"/>
      <c r="E35" s="24">
        <f>F35+G35+H35+I35+L35+M35+N35+P35+S35+T35+U35+V35+W35+X35+Y35+R35</f>
        <v>33262212.800000001</v>
      </c>
      <c r="F35" s="24">
        <v>32061865</v>
      </c>
      <c r="G35" s="24"/>
      <c r="H35" s="24"/>
      <c r="I35" s="24"/>
      <c r="J35" s="24"/>
      <c r="K35" s="24"/>
      <c r="L35" s="24">
        <f>106774.2-106774.2</f>
        <v>0</v>
      </c>
      <c r="M35" s="24"/>
      <c r="N35" s="24"/>
      <c r="O35" s="24"/>
      <c r="P35" s="24"/>
      <c r="Q35" s="24"/>
      <c r="R35" s="24">
        <f>10618+520246.8</f>
        <v>530864.80000000005</v>
      </c>
      <c r="S35" s="24"/>
      <c r="T35" s="24"/>
      <c r="U35" s="24">
        <v>669483</v>
      </c>
      <c r="V35" s="24"/>
      <c r="W35" s="24"/>
      <c r="X35" s="24"/>
      <c r="Y35" s="24"/>
    </row>
    <row r="36" spans="1:25" ht="30" x14ac:dyDescent="0.25">
      <c r="A36" s="94" t="s">
        <v>55</v>
      </c>
      <c r="B36" s="87" t="s">
        <v>56</v>
      </c>
      <c r="C36" s="23">
        <v>112</v>
      </c>
      <c r="D36" s="27"/>
      <c r="E36" s="24">
        <f>F36+G36+H36+I36+M36+N36+P36+S36+T36+U36+V36+W36+X36+Y36</f>
        <v>0</v>
      </c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150"/>
      <c r="R36" s="24"/>
      <c r="S36" s="24"/>
      <c r="T36" s="24"/>
      <c r="U36" s="24"/>
      <c r="V36" s="24"/>
      <c r="W36" s="24"/>
      <c r="X36" s="24"/>
      <c r="Y36" s="24"/>
    </row>
    <row r="37" spans="1:25" s="44" customFormat="1" ht="30" x14ac:dyDescent="0.25">
      <c r="A37" s="71" t="s">
        <v>58</v>
      </c>
      <c r="B37" s="3" t="s">
        <v>57</v>
      </c>
      <c r="C37" s="19">
        <v>113</v>
      </c>
      <c r="D37" s="21"/>
      <c r="E37" s="22">
        <f>F37+G37+H37+I37+M37+N37+P37+S37+T37+U37+V37+W37+X37+Y37</f>
        <v>0</v>
      </c>
      <c r="F37" s="24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150"/>
      <c r="R37" s="24"/>
      <c r="S37" s="22"/>
      <c r="T37" s="22"/>
      <c r="U37" s="22"/>
      <c r="V37" s="22"/>
      <c r="W37" s="22"/>
      <c r="X37" s="22"/>
      <c r="Y37" s="22"/>
    </row>
    <row r="38" spans="1:25" s="26" customFormat="1" ht="45" x14ac:dyDescent="0.25">
      <c r="A38" s="101" t="s">
        <v>59</v>
      </c>
      <c r="B38" s="102" t="s">
        <v>60</v>
      </c>
      <c r="C38" s="48">
        <v>119</v>
      </c>
      <c r="D38" s="61"/>
      <c r="E38" s="59">
        <f>+E39+E40</f>
        <v>10018008.369999999</v>
      </c>
      <c r="F38" s="59">
        <v>9655503</v>
      </c>
      <c r="G38" s="59">
        <f t="shared" ref="G38:L38" si="17">+G39+G40</f>
        <v>0</v>
      </c>
      <c r="H38" s="59">
        <f t="shared" si="17"/>
        <v>0</v>
      </c>
      <c r="I38" s="59">
        <f t="shared" si="17"/>
        <v>0</v>
      </c>
      <c r="J38" s="59">
        <f t="shared" si="17"/>
        <v>0</v>
      </c>
      <c r="K38" s="59">
        <f t="shared" si="17"/>
        <v>0</v>
      </c>
      <c r="L38" s="59">
        <f t="shared" si="17"/>
        <v>0</v>
      </c>
      <c r="M38" s="59">
        <f t="shared" ref="M38:Y38" si="18">+M39+M40</f>
        <v>0</v>
      </c>
      <c r="N38" s="59">
        <f t="shared" si="18"/>
        <v>0</v>
      </c>
      <c r="O38" s="59">
        <f>+O39+O40</f>
        <v>0</v>
      </c>
      <c r="P38" s="59">
        <f t="shared" si="18"/>
        <v>0</v>
      </c>
      <c r="Q38" s="59">
        <f t="shared" si="18"/>
        <v>0</v>
      </c>
      <c r="R38" s="59">
        <f t="shared" si="18"/>
        <v>160321.5</v>
      </c>
      <c r="S38" s="59">
        <f t="shared" si="18"/>
        <v>0</v>
      </c>
      <c r="T38" s="59">
        <f t="shared" si="18"/>
        <v>0</v>
      </c>
      <c r="U38" s="59">
        <f t="shared" si="18"/>
        <v>202183.87</v>
      </c>
      <c r="V38" s="59">
        <f t="shared" si="18"/>
        <v>0</v>
      </c>
      <c r="W38" s="59">
        <f t="shared" si="18"/>
        <v>0</v>
      </c>
      <c r="X38" s="59">
        <f t="shared" si="18"/>
        <v>0</v>
      </c>
      <c r="Y38" s="59">
        <f t="shared" si="18"/>
        <v>0</v>
      </c>
    </row>
    <row r="39" spans="1:25" ht="30" x14ac:dyDescent="0.25">
      <c r="A39" s="94" t="s">
        <v>62</v>
      </c>
      <c r="B39" s="87" t="s">
        <v>61</v>
      </c>
      <c r="C39" s="23">
        <v>119</v>
      </c>
      <c r="D39" s="27"/>
      <c r="E39" s="24">
        <f>F39+G39+H39+I39+L39+M39+N39+P39+S39+T39+U39+V39+W39+X39+Y39+R39</f>
        <v>10018008.369999999</v>
      </c>
      <c r="F39" s="24">
        <v>9655503</v>
      </c>
      <c r="G39" s="24"/>
      <c r="H39" s="24"/>
      <c r="I39" s="24"/>
      <c r="J39" s="24"/>
      <c r="K39" s="24"/>
      <c r="L39" s="24">
        <f>32245.8-32245.8</f>
        <v>0</v>
      </c>
      <c r="M39" s="24"/>
      <c r="N39" s="24"/>
      <c r="O39" s="24"/>
      <c r="P39" s="24"/>
      <c r="Q39" s="150"/>
      <c r="R39" s="24">
        <f>3207+157114.5</f>
        <v>160321.5</v>
      </c>
      <c r="S39" s="24"/>
      <c r="T39" s="24"/>
      <c r="U39" s="24">
        <v>202183.87</v>
      </c>
      <c r="V39" s="24"/>
      <c r="W39" s="24"/>
      <c r="X39" s="24"/>
      <c r="Y39" s="24"/>
    </row>
    <row r="40" spans="1:25" x14ac:dyDescent="0.25">
      <c r="A40" s="71" t="s">
        <v>63</v>
      </c>
      <c r="B40" s="3" t="s">
        <v>65</v>
      </c>
      <c r="C40" s="19">
        <v>119</v>
      </c>
      <c r="D40" s="21"/>
      <c r="E40" s="22">
        <f t="shared" ref="E40:E45" si="19">F40+G40+H40+I40+M40+N40+P40+S40+T40+U40+V40+W40+X40+Y40</f>
        <v>0</v>
      </c>
      <c r="F40" s="24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150"/>
      <c r="R40" s="150"/>
      <c r="S40" s="22"/>
      <c r="T40" s="22"/>
      <c r="U40" s="24"/>
      <c r="V40" s="24"/>
      <c r="W40" s="24"/>
      <c r="X40" s="22"/>
      <c r="Y40" s="22"/>
    </row>
    <row r="41" spans="1:25" ht="30" x14ac:dyDescent="0.25">
      <c r="A41" s="66" t="s">
        <v>64</v>
      </c>
      <c r="B41" s="3" t="s">
        <v>66</v>
      </c>
      <c r="C41" s="19">
        <v>131</v>
      </c>
      <c r="D41" s="21"/>
      <c r="E41" s="22">
        <f t="shared" si="19"/>
        <v>0</v>
      </c>
      <c r="F41" s="24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1"/>
      <c r="R41" s="21"/>
      <c r="S41" s="22"/>
      <c r="T41" s="22"/>
      <c r="U41" s="22"/>
      <c r="V41" s="22"/>
      <c r="W41" s="22"/>
      <c r="X41" s="22"/>
      <c r="Y41" s="22"/>
    </row>
    <row r="42" spans="1:25" ht="45" x14ac:dyDescent="0.25">
      <c r="A42" s="66" t="s">
        <v>231</v>
      </c>
      <c r="B42" s="3" t="s">
        <v>67</v>
      </c>
      <c r="C42" s="19">
        <v>133</v>
      </c>
      <c r="D42" s="21"/>
      <c r="E42" s="22">
        <f t="shared" si="19"/>
        <v>0</v>
      </c>
      <c r="F42" s="24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03"/>
      <c r="R42" s="203"/>
      <c r="S42" s="22"/>
      <c r="T42" s="22"/>
      <c r="U42" s="22"/>
      <c r="V42" s="22"/>
      <c r="W42" s="22"/>
      <c r="X42" s="22"/>
      <c r="Y42" s="22"/>
    </row>
    <row r="43" spans="1:25" ht="30" customHeight="1" x14ac:dyDescent="0.25">
      <c r="A43" s="66" t="s">
        <v>232</v>
      </c>
      <c r="B43" s="3" t="s">
        <v>69</v>
      </c>
      <c r="C43" s="19">
        <v>134</v>
      </c>
      <c r="D43" s="21"/>
      <c r="E43" s="22">
        <f t="shared" si="19"/>
        <v>0</v>
      </c>
      <c r="F43" s="24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03"/>
      <c r="R43" s="203"/>
      <c r="S43" s="22"/>
      <c r="T43" s="22"/>
      <c r="U43" s="22"/>
      <c r="V43" s="22"/>
      <c r="W43" s="22"/>
      <c r="X43" s="22"/>
      <c r="Y43" s="22"/>
    </row>
    <row r="44" spans="1:25" ht="45" x14ac:dyDescent="0.25">
      <c r="A44" s="66" t="s">
        <v>68</v>
      </c>
      <c r="B44" s="3" t="s">
        <v>233</v>
      </c>
      <c r="C44" s="19">
        <v>139</v>
      </c>
      <c r="D44" s="21"/>
      <c r="E44" s="22">
        <f t="shared" si="19"/>
        <v>0</v>
      </c>
      <c r="F44" s="24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03"/>
      <c r="R44" s="203"/>
      <c r="S44" s="22"/>
      <c r="T44" s="22"/>
      <c r="U44" s="22"/>
      <c r="V44" s="22"/>
      <c r="W44" s="22"/>
      <c r="X44" s="22"/>
      <c r="Y44" s="22"/>
    </row>
    <row r="45" spans="1:25" x14ac:dyDescent="0.25">
      <c r="A45" s="71" t="s">
        <v>277</v>
      </c>
      <c r="B45" s="3" t="s">
        <v>234</v>
      </c>
      <c r="C45" s="19">
        <v>139</v>
      </c>
      <c r="D45" s="21"/>
      <c r="E45" s="22">
        <f t="shared" si="19"/>
        <v>0</v>
      </c>
      <c r="F45" s="24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03"/>
      <c r="R45" s="203"/>
      <c r="S45" s="22"/>
      <c r="T45" s="22"/>
      <c r="U45" s="22"/>
      <c r="V45" s="22"/>
      <c r="W45" s="22"/>
      <c r="X45" s="22"/>
      <c r="Y45" s="22"/>
    </row>
    <row r="46" spans="1:25" x14ac:dyDescent="0.25">
      <c r="A46" s="68" t="s">
        <v>72</v>
      </c>
      <c r="B46" s="5" t="s">
        <v>71</v>
      </c>
      <c r="C46" s="18">
        <v>300</v>
      </c>
      <c r="D46" s="28"/>
      <c r="E46" s="20">
        <f>+E47+E48</f>
        <v>0</v>
      </c>
      <c r="F46" s="25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3"/>
      <c r="R46" s="203"/>
      <c r="S46" s="20"/>
      <c r="T46" s="20"/>
      <c r="U46" s="20"/>
      <c r="V46" s="20"/>
      <c r="W46" s="20"/>
      <c r="X46" s="20"/>
      <c r="Y46" s="20"/>
    </row>
    <row r="47" spans="1:25" ht="30" x14ac:dyDescent="0.25">
      <c r="A47" s="71" t="s">
        <v>276</v>
      </c>
      <c r="B47" s="3" t="s">
        <v>74</v>
      </c>
      <c r="C47" s="159">
        <v>320</v>
      </c>
      <c r="D47" s="21"/>
      <c r="E47" s="22">
        <f t="shared" ref="E47:E57" si="20">F47+G47+H47+I47+M47+N47+P47+S47+T47+U47+V47+W47+X47+Y47</f>
        <v>0</v>
      </c>
      <c r="F47" s="24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1"/>
      <c r="R47" s="21"/>
      <c r="S47" s="22"/>
      <c r="T47" s="22"/>
      <c r="U47" s="22"/>
      <c r="V47" s="22"/>
      <c r="W47" s="22"/>
      <c r="X47" s="22"/>
      <c r="Y47" s="22"/>
    </row>
    <row r="48" spans="1:25" ht="15" hidden="1" customHeight="1" x14ac:dyDescent="0.25">
      <c r="A48" s="71" t="s">
        <v>275</v>
      </c>
      <c r="B48" s="3" t="s">
        <v>75</v>
      </c>
      <c r="C48" s="19">
        <v>321</v>
      </c>
      <c r="D48" s="21"/>
      <c r="E48" s="22">
        <f t="shared" si="20"/>
        <v>0</v>
      </c>
      <c r="F48" s="24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1"/>
      <c r="R48" s="21"/>
      <c r="S48" s="22"/>
      <c r="T48" s="22"/>
      <c r="U48" s="22"/>
      <c r="V48" s="22"/>
      <c r="W48" s="22"/>
      <c r="X48" s="22"/>
      <c r="Y48" s="22"/>
    </row>
    <row r="49" spans="1:25" ht="15" hidden="1" customHeight="1" x14ac:dyDescent="0.25">
      <c r="A49" s="71"/>
      <c r="B49" s="3"/>
      <c r="C49" s="19"/>
      <c r="D49" s="21"/>
      <c r="E49" s="22">
        <f t="shared" si="20"/>
        <v>0</v>
      </c>
      <c r="F49" s="24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1"/>
      <c r="R49" s="21"/>
      <c r="S49" s="22"/>
      <c r="T49" s="22"/>
      <c r="U49" s="22"/>
      <c r="V49" s="22"/>
      <c r="W49" s="22"/>
      <c r="X49" s="22"/>
      <c r="Y49" s="22"/>
    </row>
    <row r="50" spans="1:25" ht="45" customHeight="1" x14ac:dyDescent="0.25">
      <c r="A50" s="71" t="s">
        <v>76</v>
      </c>
      <c r="B50" s="3" t="s">
        <v>77</v>
      </c>
      <c r="C50" s="19">
        <v>340</v>
      </c>
      <c r="D50" s="21"/>
      <c r="E50" s="22">
        <f t="shared" si="20"/>
        <v>0</v>
      </c>
      <c r="F50" s="24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1"/>
      <c r="R50" s="21"/>
      <c r="S50" s="22"/>
      <c r="T50" s="22"/>
      <c r="U50" s="22"/>
      <c r="V50" s="22"/>
      <c r="W50" s="22"/>
      <c r="X50" s="22"/>
      <c r="Y50" s="22"/>
    </row>
    <row r="51" spans="1:25" ht="66.75" customHeight="1" x14ac:dyDescent="0.25">
      <c r="A51" s="71" t="s">
        <v>79</v>
      </c>
      <c r="B51" s="3" t="s">
        <v>78</v>
      </c>
      <c r="C51" s="19">
        <v>350</v>
      </c>
      <c r="D51" s="21"/>
      <c r="E51" s="22">
        <f t="shared" si="20"/>
        <v>0</v>
      </c>
      <c r="F51" s="24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1"/>
      <c r="R51" s="21"/>
      <c r="S51" s="22"/>
      <c r="T51" s="22"/>
      <c r="U51" s="22"/>
      <c r="V51" s="22"/>
      <c r="W51" s="22"/>
      <c r="X51" s="22"/>
      <c r="Y51" s="22"/>
    </row>
    <row r="52" spans="1:25" s="112" customFormat="1" x14ac:dyDescent="0.25">
      <c r="A52" s="71" t="s">
        <v>235</v>
      </c>
      <c r="B52" s="3" t="s">
        <v>80</v>
      </c>
      <c r="C52" s="19">
        <v>360</v>
      </c>
      <c r="D52" s="21"/>
      <c r="E52" s="22">
        <f t="shared" si="20"/>
        <v>0</v>
      </c>
      <c r="F52" s="24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03"/>
      <c r="R52" s="203"/>
      <c r="S52" s="22"/>
      <c r="T52" s="22"/>
      <c r="U52" s="22"/>
      <c r="V52" s="22"/>
      <c r="W52" s="22"/>
      <c r="X52" s="22"/>
      <c r="Y52" s="22"/>
    </row>
    <row r="53" spans="1:25" s="26" customFormat="1" x14ac:dyDescent="0.25">
      <c r="A53" s="90" t="s">
        <v>82</v>
      </c>
      <c r="B53" s="86" t="s">
        <v>81</v>
      </c>
      <c r="C53" s="37">
        <v>850</v>
      </c>
      <c r="D53" s="38"/>
      <c r="E53" s="39">
        <f t="shared" si="20"/>
        <v>0</v>
      </c>
      <c r="F53" s="39">
        <v>0</v>
      </c>
      <c r="G53" s="39">
        <f t="shared" ref="G53:L53" si="21">+G54+G55+G56</f>
        <v>0</v>
      </c>
      <c r="H53" s="39">
        <f t="shared" si="21"/>
        <v>0</v>
      </c>
      <c r="I53" s="39">
        <f t="shared" si="21"/>
        <v>0</v>
      </c>
      <c r="J53" s="39">
        <f t="shared" si="21"/>
        <v>0</v>
      </c>
      <c r="K53" s="39">
        <f t="shared" si="21"/>
        <v>0</v>
      </c>
      <c r="L53" s="39">
        <f t="shared" si="21"/>
        <v>0</v>
      </c>
      <c r="M53" s="39">
        <f t="shared" ref="M53:Y53" si="22">+M54+M55+M56</f>
        <v>0</v>
      </c>
      <c r="N53" s="39">
        <f t="shared" si="22"/>
        <v>0</v>
      </c>
      <c r="O53" s="39">
        <f>+O54+O55+O56</f>
        <v>0</v>
      </c>
      <c r="P53" s="39">
        <f t="shared" si="22"/>
        <v>0</v>
      </c>
      <c r="Q53" s="39">
        <f t="shared" si="22"/>
        <v>0</v>
      </c>
      <c r="R53" s="39">
        <f t="shared" si="22"/>
        <v>0</v>
      </c>
      <c r="S53" s="39">
        <f t="shared" si="22"/>
        <v>0</v>
      </c>
      <c r="T53" s="39">
        <f t="shared" si="22"/>
        <v>0</v>
      </c>
      <c r="U53" s="39">
        <f t="shared" si="22"/>
        <v>0</v>
      </c>
      <c r="V53" s="39">
        <f t="shared" si="22"/>
        <v>0</v>
      </c>
      <c r="W53" s="39">
        <f t="shared" si="22"/>
        <v>0</v>
      </c>
      <c r="X53" s="39">
        <f t="shared" si="22"/>
        <v>0</v>
      </c>
      <c r="Y53" s="32">
        <f t="shared" si="22"/>
        <v>0</v>
      </c>
    </row>
    <row r="54" spans="1:25" s="26" customFormat="1" ht="30" x14ac:dyDescent="0.25">
      <c r="A54" s="94" t="s">
        <v>83</v>
      </c>
      <c r="B54" s="87" t="s">
        <v>84</v>
      </c>
      <c r="C54" s="23">
        <v>851</v>
      </c>
      <c r="D54" s="27"/>
      <c r="E54" s="24">
        <f t="shared" si="20"/>
        <v>0</v>
      </c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150"/>
      <c r="R54" s="150"/>
      <c r="S54" s="24"/>
      <c r="T54" s="24"/>
      <c r="U54" s="24"/>
      <c r="V54" s="24"/>
      <c r="W54" s="24"/>
      <c r="X54" s="24"/>
      <c r="Y54" s="24"/>
    </row>
    <row r="55" spans="1:25" s="26" customFormat="1" ht="45" x14ac:dyDescent="0.25">
      <c r="A55" s="94" t="s">
        <v>86</v>
      </c>
      <c r="B55" s="87" t="s">
        <v>85</v>
      </c>
      <c r="C55" s="23">
        <v>852</v>
      </c>
      <c r="D55" s="27"/>
      <c r="E55" s="24">
        <f t="shared" si="20"/>
        <v>0</v>
      </c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150"/>
      <c r="R55" s="150"/>
      <c r="S55" s="24"/>
      <c r="T55" s="24"/>
      <c r="U55" s="24"/>
      <c r="V55" s="24"/>
      <c r="W55" s="24"/>
      <c r="X55" s="24"/>
      <c r="Y55" s="24"/>
    </row>
    <row r="56" spans="1:25" ht="30" x14ac:dyDescent="0.25">
      <c r="A56" s="94" t="s">
        <v>87</v>
      </c>
      <c r="B56" s="87" t="s">
        <v>88</v>
      </c>
      <c r="C56" s="23">
        <v>853</v>
      </c>
      <c r="D56" s="27"/>
      <c r="E56" s="24">
        <f t="shared" si="20"/>
        <v>0</v>
      </c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150"/>
      <c r="R56" s="150"/>
      <c r="S56" s="24"/>
      <c r="T56" s="24"/>
      <c r="U56" s="24"/>
      <c r="V56" s="24"/>
      <c r="W56" s="24"/>
      <c r="X56" s="24"/>
      <c r="Y56" s="24"/>
    </row>
    <row r="57" spans="1:25" ht="28.5" x14ac:dyDescent="0.25">
      <c r="A57" s="68" t="s">
        <v>90</v>
      </c>
      <c r="B57" s="5" t="s">
        <v>89</v>
      </c>
      <c r="C57" s="18" t="s">
        <v>20</v>
      </c>
      <c r="D57" s="28"/>
      <c r="E57" s="20">
        <f t="shared" si="20"/>
        <v>0</v>
      </c>
      <c r="F57" s="25">
        <v>0</v>
      </c>
      <c r="G57" s="20">
        <f t="shared" ref="G57:L57" si="23">+G61+G62+G63</f>
        <v>0</v>
      </c>
      <c r="H57" s="20">
        <f t="shared" si="23"/>
        <v>0</v>
      </c>
      <c r="I57" s="20">
        <f t="shared" si="23"/>
        <v>0</v>
      </c>
      <c r="J57" s="20">
        <f t="shared" si="23"/>
        <v>0</v>
      </c>
      <c r="K57" s="20">
        <f t="shared" si="23"/>
        <v>0</v>
      </c>
      <c r="L57" s="20">
        <f t="shared" si="23"/>
        <v>0</v>
      </c>
      <c r="M57" s="20">
        <f t="shared" ref="M57:Y57" si="24">+M61+M62+M63</f>
        <v>0</v>
      </c>
      <c r="N57" s="20">
        <f t="shared" si="24"/>
        <v>0</v>
      </c>
      <c r="O57" s="20">
        <f>+O61+O62+O63</f>
        <v>0</v>
      </c>
      <c r="P57" s="20">
        <f t="shared" si="24"/>
        <v>0</v>
      </c>
      <c r="Q57" s="20">
        <f t="shared" si="24"/>
        <v>0</v>
      </c>
      <c r="R57" s="20">
        <f t="shared" si="24"/>
        <v>0</v>
      </c>
      <c r="S57" s="20">
        <f t="shared" si="24"/>
        <v>0</v>
      </c>
      <c r="T57" s="20">
        <f t="shared" si="24"/>
        <v>0</v>
      </c>
      <c r="U57" s="25">
        <f t="shared" si="24"/>
        <v>0</v>
      </c>
      <c r="V57" s="25">
        <f t="shared" si="24"/>
        <v>0</v>
      </c>
      <c r="W57" s="25">
        <f t="shared" si="24"/>
        <v>0</v>
      </c>
      <c r="X57" s="20">
        <f t="shared" si="24"/>
        <v>0</v>
      </c>
      <c r="Y57" s="20">
        <f t="shared" si="24"/>
        <v>0</v>
      </c>
    </row>
    <row r="58" spans="1:25" x14ac:dyDescent="0.25">
      <c r="A58" s="71" t="s">
        <v>236</v>
      </c>
      <c r="B58" s="3" t="s">
        <v>91</v>
      </c>
      <c r="C58" s="159">
        <v>613</v>
      </c>
      <c r="D58" s="28"/>
      <c r="E58" s="20"/>
      <c r="F58" s="25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50"/>
      <c r="R58" s="150"/>
      <c r="S58" s="20"/>
      <c r="T58" s="20"/>
      <c r="U58" s="25"/>
      <c r="V58" s="25"/>
      <c r="W58" s="25"/>
      <c r="X58" s="20"/>
      <c r="Y58" s="20"/>
    </row>
    <row r="59" spans="1:25" x14ac:dyDescent="0.25">
      <c r="A59" s="71" t="s">
        <v>237</v>
      </c>
      <c r="B59" s="3" t="s">
        <v>92</v>
      </c>
      <c r="C59" s="159">
        <v>623</v>
      </c>
      <c r="D59" s="28"/>
      <c r="E59" s="20"/>
      <c r="F59" s="25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150"/>
      <c r="R59" s="150"/>
      <c r="S59" s="20"/>
      <c r="T59" s="20"/>
      <c r="U59" s="25"/>
      <c r="V59" s="25"/>
      <c r="W59" s="25"/>
      <c r="X59" s="20"/>
      <c r="Y59" s="20"/>
    </row>
    <row r="60" spans="1:25" ht="30" x14ac:dyDescent="0.25">
      <c r="A60" s="71" t="s">
        <v>238</v>
      </c>
      <c r="B60" s="3" t="s">
        <v>95</v>
      </c>
      <c r="C60" s="159">
        <v>634</v>
      </c>
      <c r="D60" s="28"/>
      <c r="E60" s="20"/>
      <c r="F60" s="25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150"/>
      <c r="R60" s="150"/>
      <c r="S60" s="20"/>
      <c r="T60" s="20"/>
      <c r="U60" s="25"/>
      <c r="V60" s="25"/>
      <c r="W60" s="25"/>
      <c r="X60" s="20"/>
      <c r="Y60" s="20"/>
    </row>
    <row r="61" spans="1:25" ht="30" x14ac:dyDescent="0.25">
      <c r="A61" s="71" t="s">
        <v>239</v>
      </c>
      <c r="B61" s="3" t="s">
        <v>240</v>
      </c>
      <c r="C61" s="19">
        <v>810</v>
      </c>
      <c r="D61" s="21"/>
      <c r="E61" s="22">
        <f>F61+G61+H61+I61+M61+N61+P61+S61+T61+U61+V61+W61+X61+Y61</f>
        <v>0</v>
      </c>
      <c r="F61" s="24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03"/>
      <c r="R61" s="203"/>
      <c r="S61" s="22"/>
      <c r="T61" s="22"/>
      <c r="U61" s="22"/>
      <c r="V61" s="22"/>
      <c r="W61" s="22"/>
      <c r="X61" s="22"/>
      <c r="Y61" s="22"/>
    </row>
    <row r="62" spans="1:25" x14ac:dyDescent="0.25">
      <c r="A62" s="71" t="s">
        <v>93</v>
      </c>
      <c r="B62" s="3" t="s">
        <v>241</v>
      </c>
      <c r="C62" s="19">
        <v>862</v>
      </c>
      <c r="D62" s="21"/>
      <c r="E62" s="22">
        <f>F62+G62+H62+I62+M62+N62+P62+S62+T62+U62+V62+W62+X62+Y62</f>
        <v>0</v>
      </c>
      <c r="F62" s="24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03"/>
      <c r="R62" s="203"/>
      <c r="S62" s="22"/>
      <c r="T62" s="22"/>
      <c r="U62" s="22"/>
      <c r="V62" s="22"/>
      <c r="W62" s="22"/>
      <c r="X62" s="22"/>
      <c r="Y62" s="22"/>
    </row>
    <row r="63" spans="1:25" ht="45" x14ac:dyDescent="0.25">
      <c r="A63" s="71" t="s">
        <v>94</v>
      </c>
      <c r="B63" s="3" t="s">
        <v>242</v>
      </c>
      <c r="C63" s="19">
        <v>863</v>
      </c>
      <c r="D63" s="21"/>
      <c r="E63" s="22">
        <f>F63+G63+H63+I63+M63+N63+P63+S63+T63+U63+V63+W63+X63+Y63</f>
        <v>0</v>
      </c>
      <c r="F63" s="24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03"/>
      <c r="R63" s="203"/>
      <c r="S63" s="22"/>
      <c r="T63" s="22"/>
      <c r="U63" s="22"/>
      <c r="V63" s="22"/>
      <c r="W63" s="22"/>
      <c r="X63" s="22"/>
      <c r="Y63" s="22"/>
    </row>
    <row r="64" spans="1:25" ht="30" customHeight="1" x14ac:dyDescent="0.25">
      <c r="A64" s="68" t="s">
        <v>97</v>
      </c>
      <c r="B64" s="5" t="s">
        <v>98</v>
      </c>
      <c r="C64" s="18" t="s">
        <v>20</v>
      </c>
      <c r="D64" s="58"/>
      <c r="E64" s="25">
        <f>+E65</f>
        <v>0</v>
      </c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152"/>
      <c r="R64" s="152"/>
      <c r="S64" s="25"/>
      <c r="T64" s="25"/>
      <c r="U64" s="25">
        <f>+U65</f>
        <v>0</v>
      </c>
      <c r="V64" s="25">
        <f t="shared" ref="V64:W64" si="25">+V65</f>
        <v>0</v>
      </c>
      <c r="W64" s="25">
        <f t="shared" si="25"/>
        <v>0</v>
      </c>
      <c r="X64" s="25"/>
      <c r="Y64" s="25"/>
    </row>
    <row r="65" spans="1:25" s="44" customFormat="1" ht="45" x14ac:dyDescent="0.25">
      <c r="A65" s="71" t="s">
        <v>100</v>
      </c>
      <c r="B65" s="3" t="s">
        <v>99</v>
      </c>
      <c r="C65" s="19">
        <v>831</v>
      </c>
      <c r="D65" s="27"/>
      <c r="E65" s="24">
        <f>F65+G65+H65+I65+M65+N65+P65+S65+T65+U65+V65+W65+X65+Y65</f>
        <v>0</v>
      </c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152"/>
      <c r="R65" s="152"/>
      <c r="S65" s="24"/>
      <c r="T65" s="24"/>
      <c r="U65" s="24"/>
      <c r="V65" s="24"/>
      <c r="W65" s="24"/>
      <c r="X65" s="24"/>
      <c r="Y65" s="24"/>
    </row>
    <row r="66" spans="1:25" ht="22.5" customHeight="1" x14ac:dyDescent="0.25">
      <c r="A66" s="90" t="s">
        <v>102</v>
      </c>
      <c r="B66" s="86" t="s">
        <v>96</v>
      </c>
      <c r="C66" s="37" t="s">
        <v>20</v>
      </c>
      <c r="D66" s="38"/>
      <c r="E66" s="39">
        <f>E67+E69+E70+E78+E79+E77</f>
        <v>5603976.1299999999</v>
      </c>
      <c r="F66" s="39">
        <v>572260</v>
      </c>
      <c r="G66" s="39">
        <f t="shared" ref="G66:L66" si="26">G67+G69+G70+G78+G79+G77</f>
        <v>834216</v>
      </c>
      <c r="H66" s="39">
        <f t="shared" si="26"/>
        <v>0</v>
      </c>
      <c r="I66" s="39">
        <f t="shared" si="26"/>
        <v>0</v>
      </c>
      <c r="J66" s="39">
        <f t="shared" si="26"/>
        <v>3107200</v>
      </c>
      <c r="K66" s="39">
        <f t="shared" si="26"/>
        <v>0</v>
      </c>
      <c r="L66" s="39">
        <f t="shared" si="26"/>
        <v>0</v>
      </c>
      <c r="M66" s="39">
        <f t="shared" ref="M66:Y66" si="27">M67+M69+M70+M78+M79+M77</f>
        <v>0</v>
      </c>
      <c r="N66" s="39">
        <f t="shared" si="27"/>
        <v>0</v>
      </c>
      <c r="O66" s="39">
        <f>O67+O69+O70+O78+O79+O77</f>
        <v>28367</v>
      </c>
      <c r="P66" s="39">
        <f t="shared" si="27"/>
        <v>0</v>
      </c>
      <c r="Q66" s="39">
        <f t="shared" si="27"/>
        <v>0</v>
      </c>
      <c r="R66" s="39">
        <f t="shared" si="27"/>
        <v>0</v>
      </c>
      <c r="S66" s="39">
        <f t="shared" si="27"/>
        <v>0</v>
      </c>
      <c r="T66" s="39">
        <f t="shared" si="27"/>
        <v>0</v>
      </c>
      <c r="U66" s="39">
        <f t="shared" si="27"/>
        <v>341933.13</v>
      </c>
      <c r="V66" s="39">
        <f t="shared" si="27"/>
        <v>400000</v>
      </c>
      <c r="W66" s="39">
        <f t="shared" si="27"/>
        <v>320000</v>
      </c>
      <c r="X66" s="39">
        <f t="shared" si="27"/>
        <v>0</v>
      </c>
      <c r="Y66" s="39">
        <f t="shared" si="27"/>
        <v>0</v>
      </c>
    </row>
    <row r="67" spans="1:25" ht="15" hidden="1" customHeight="1" x14ac:dyDescent="0.25">
      <c r="A67" s="71" t="s">
        <v>274</v>
      </c>
      <c r="B67" s="3" t="s">
        <v>103</v>
      </c>
      <c r="C67" s="19">
        <v>241</v>
      </c>
      <c r="D67" s="21"/>
      <c r="E67" s="22">
        <f>F67+G67+H67+I67+M67+N67+P67+S67+T67+U67+V67+W67+X67+Y67</f>
        <v>0</v>
      </c>
      <c r="F67" s="24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1"/>
      <c r="R67" s="21"/>
      <c r="S67" s="22"/>
      <c r="T67" s="22"/>
      <c r="U67" s="22"/>
      <c r="V67" s="22"/>
      <c r="W67" s="22"/>
      <c r="X67" s="22"/>
      <c r="Y67" s="22"/>
    </row>
    <row r="68" spans="1:25" ht="15" hidden="1" customHeight="1" x14ac:dyDescent="0.25">
      <c r="A68" s="71"/>
      <c r="B68" s="3"/>
      <c r="C68" s="19"/>
      <c r="D68" s="21"/>
      <c r="E68" s="22"/>
      <c r="F68" s="24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03"/>
      <c r="R68" s="203"/>
      <c r="S68" s="22"/>
      <c r="T68" s="22"/>
      <c r="U68" s="22"/>
      <c r="V68" s="22"/>
      <c r="W68" s="22"/>
      <c r="X68" s="22"/>
      <c r="Y68" s="22"/>
    </row>
    <row r="69" spans="1:25" s="79" customFormat="1" ht="16.5" customHeight="1" x14ac:dyDescent="0.25">
      <c r="A69" s="71" t="s">
        <v>106</v>
      </c>
      <c r="B69" s="3" t="s">
        <v>105</v>
      </c>
      <c r="C69" s="19">
        <v>243</v>
      </c>
      <c r="D69" s="21"/>
      <c r="E69" s="22">
        <f>F69+G69+H69+I69+M69+N69+P69+J69</f>
        <v>0</v>
      </c>
      <c r="F69" s="24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1"/>
      <c r="R69" s="21"/>
      <c r="S69" s="22"/>
      <c r="T69" s="22"/>
      <c r="U69" s="24"/>
      <c r="V69" s="24"/>
      <c r="W69" s="24"/>
      <c r="X69" s="22"/>
      <c r="Y69" s="22"/>
    </row>
    <row r="70" spans="1:25" s="26" customFormat="1" x14ac:dyDescent="0.25">
      <c r="A70" s="155" t="s">
        <v>107</v>
      </c>
      <c r="B70" s="86" t="s">
        <v>108</v>
      </c>
      <c r="C70" s="37">
        <v>244</v>
      </c>
      <c r="D70" s="38"/>
      <c r="E70" s="39">
        <f>F70+G70+H70+I70+O70+K70+L70+M70+N70+P70+J70+S70+T70+U70+V70+W70+X70+Y70</f>
        <v>5173202.13</v>
      </c>
      <c r="F70" s="39">
        <v>572260</v>
      </c>
      <c r="G70" s="39">
        <f>G71+83400</f>
        <v>834216</v>
      </c>
      <c r="H70" s="39">
        <f t="shared" ref="H70:L70" si="28">H71</f>
        <v>0</v>
      </c>
      <c r="I70" s="39">
        <f t="shared" si="28"/>
        <v>0</v>
      </c>
      <c r="J70" s="39">
        <f>J71+3107200</f>
        <v>3107200</v>
      </c>
      <c r="K70" s="39">
        <f t="shared" si="28"/>
        <v>0</v>
      </c>
      <c r="L70" s="39">
        <f t="shared" si="28"/>
        <v>0</v>
      </c>
      <c r="M70" s="39">
        <f t="shared" ref="M70:Y70" si="29">M71</f>
        <v>0</v>
      </c>
      <c r="N70" s="39">
        <f t="shared" si="29"/>
        <v>0</v>
      </c>
      <c r="O70" s="39">
        <f>O71+28367</f>
        <v>28367</v>
      </c>
      <c r="P70" s="39">
        <f t="shared" si="29"/>
        <v>0</v>
      </c>
      <c r="Q70" s="39">
        <f t="shared" si="29"/>
        <v>0</v>
      </c>
      <c r="R70" s="39">
        <f t="shared" si="29"/>
        <v>0</v>
      </c>
      <c r="S70" s="39">
        <f t="shared" si="29"/>
        <v>0</v>
      </c>
      <c r="T70" s="39">
        <f t="shared" si="29"/>
        <v>0</v>
      </c>
      <c r="U70" s="39">
        <f>U71+30000+138000</f>
        <v>311159.13</v>
      </c>
      <c r="V70" s="39">
        <f>V71</f>
        <v>0</v>
      </c>
      <c r="W70" s="39">
        <f>W71+90000</f>
        <v>320000</v>
      </c>
      <c r="X70" s="39">
        <f t="shared" ref="X70" si="30">X71</f>
        <v>0</v>
      </c>
      <c r="Y70" s="39">
        <f t="shared" si="29"/>
        <v>0</v>
      </c>
    </row>
    <row r="71" spans="1:25" s="26" customFormat="1" ht="30" x14ac:dyDescent="0.25">
      <c r="A71" s="143" t="s">
        <v>129</v>
      </c>
      <c r="B71" s="87" t="s">
        <v>130</v>
      </c>
      <c r="C71" s="23">
        <v>244</v>
      </c>
      <c r="D71" s="27"/>
      <c r="E71" s="24">
        <f>E73+E74+E75</f>
        <v>1676235.13</v>
      </c>
      <c r="F71" s="24">
        <v>552260</v>
      </c>
      <c r="G71" s="24">
        <f>G73+G74+G75</f>
        <v>750816</v>
      </c>
      <c r="H71" s="24">
        <f t="shared" ref="H71:I71" si="31">H73+H74+H75</f>
        <v>0</v>
      </c>
      <c r="I71" s="24">
        <f t="shared" si="31"/>
        <v>0</v>
      </c>
      <c r="J71" s="24">
        <f>J73+J74+J75</f>
        <v>0</v>
      </c>
      <c r="K71" s="24">
        <f>K73+K74+K75</f>
        <v>0</v>
      </c>
      <c r="L71" s="24">
        <f>L73+L74+L75</f>
        <v>0</v>
      </c>
      <c r="M71" s="24">
        <f t="shared" ref="M71:Y71" si="32">M73+M74+M75</f>
        <v>0</v>
      </c>
      <c r="N71" s="24">
        <f t="shared" si="32"/>
        <v>0</v>
      </c>
      <c r="O71" s="24">
        <f>O73+O74+O75</f>
        <v>0</v>
      </c>
      <c r="P71" s="24">
        <f t="shared" si="32"/>
        <v>0</v>
      </c>
      <c r="Q71" s="24">
        <f t="shared" si="32"/>
        <v>0</v>
      </c>
      <c r="R71" s="24">
        <f t="shared" si="32"/>
        <v>0</v>
      </c>
      <c r="S71" s="24">
        <f t="shared" si="32"/>
        <v>0</v>
      </c>
      <c r="T71" s="24">
        <f t="shared" si="32"/>
        <v>0</v>
      </c>
      <c r="U71" s="24">
        <f t="shared" si="32"/>
        <v>143159.13</v>
      </c>
      <c r="V71" s="24">
        <f t="shared" si="32"/>
        <v>0</v>
      </c>
      <c r="W71" s="24">
        <f t="shared" si="32"/>
        <v>230000</v>
      </c>
      <c r="X71" s="24">
        <f t="shared" si="32"/>
        <v>0</v>
      </c>
      <c r="Y71" s="24">
        <f t="shared" si="32"/>
        <v>0</v>
      </c>
    </row>
    <row r="72" spans="1:25" s="26" customFormat="1" x14ac:dyDescent="0.25">
      <c r="A72" s="143" t="s">
        <v>123</v>
      </c>
      <c r="B72" s="87"/>
      <c r="C72" s="23"/>
      <c r="D72" s="27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150"/>
      <c r="R72" s="150"/>
      <c r="S72" s="24"/>
      <c r="T72" s="24"/>
      <c r="U72" s="24"/>
      <c r="V72" s="24"/>
      <c r="W72" s="24"/>
      <c r="X72" s="24"/>
      <c r="Y72" s="24"/>
    </row>
    <row r="73" spans="1:25" s="80" customFormat="1" x14ac:dyDescent="0.25">
      <c r="A73" s="143" t="s">
        <v>125</v>
      </c>
      <c r="B73" s="87" t="s">
        <v>131</v>
      </c>
      <c r="C73" s="23">
        <v>244</v>
      </c>
      <c r="D73" s="27"/>
      <c r="E73" s="24">
        <f>F73+G73+H73+I73+M73+N73+P73+S73+T73+U73+V73+W73+X73+Y73</f>
        <v>784919.13</v>
      </c>
      <c r="F73" s="24">
        <v>491760</v>
      </c>
      <c r="G73" s="24"/>
      <c r="H73" s="24"/>
      <c r="I73" s="24"/>
      <c r="J73" s="24"/>
      <c r="K73" s="24"/>
      <c r="L73" s="24">
        <f>94000-94000</f>
        <v>0</v>
      </c>
      <c r="M73" s="24"/>
      <c r="N73" s="24"/>
      <c r="O73" s="24"/>
      <c r="P73" s="24"/>
      <c r="Q73" s="150"/>
      <c r="R73" s="150"/>
      <c r="S73" s="24"/>
      <c r="T73" s="24"/>
      <c r="U73" s="24">
        <f>113159.13</f>
        <v>113159.13</v>
      </c>
      <c r="V73" s="24"/>
      <c r="W73" s="24">
        <f>180000</f>
        <v>180000</v>
      </c>
      <c r="X73" s="24"/>
      <c r="Y73" s="24"/>
    </row>
    <row r="74" spans="1:25" s="26" customFormat="1" x14ac:dyDescent="0.25">
      <c r="A74" s="149" t="s">
        <v>126</v>
      </c>
      <c r="B74" s="103" t="s">
        <v>132</v>
      </c>
      <c r="C74" s="104">
        <v>244</v>
      </c>
      <c r="D74" s="106"/>
      <c r="E74" s="107">
        <f>F74+G74+H74+I74+M74+N74+P74+S74+T74+U74+V74+W74+X74+Y74</f>
        <v>0</v>
      </c>
      <c r="F74" s="107"/>
      <c r="G74" s="107"/>
      <c r="H74" s="107"/>
      <c r="I74" s="107"/>
      <c r="J74" s="107"/>
      <c r="K74" s="107"/>
      <c r="L74" s="107"/>
      <c r="M74" s="107"/>
      <c r="N74" s="107"/>
      <c r="O74" s="107"/>
      <c r="P74" s="107"/>
      <c r="Q74" s="152"/>
      <c r="R74" s="152"/>
      <c r="S74" s="107"/>
      <c r="T74" s="107"/>
      <c r="U74" s="107"/>
      <c r="V74" s="107"/>
      <c r="W74" s="107"/>
      <c r="X74" s="107"/>
      <c r="Y74" s="107"/>
    </row>
    <row r="75" spans="1:25" s="111" customFormat="1" x14ac:dyDescent="0.25">
      <c r="A75" s="143" t="s">
        <v>127</v>
      </c>
      <c r="B75" s="87" t="s">
        <v>133</v>
      </c>
      <c r="C75" s="23">
        <v>244</v>
      </c>
      <c r="D75" s="27"/>
      <c r="E75" s="24">
        <f>F75+G75+H75+I75+K75+L75+M75+N75+P75+J75+S75+T75+U75+V75+W75+X75+Y75</f>
        <v>891316</v>
      </c>
      <c r="F75" s="24">
        <v>60500</v>
      </c>
      <c r="G75" s="24">
        <f>750816</f>
        <v>750816</v>
      </c>
      <c r="H75" s="24"/>
      <c r="I75" s="24"/>
      <c r="J75" s="24"/>
      <c r="K75" s="24"/>
      <c r="L75" s="24">
        <f>206000-206000</f>
        <v>0</v>
      </c>
      <c r="M75" s="24"/>
      <c r="N75" s="24"/>
      <c r="O75" s="24"/>
      <c r="P75" s="24"/>
      <c r="Q75" s="150"/>
      <c r="R75" s="150"/>
      <c r="S75" s="24"/>
      <c r="T75" s="24"/>
      <c r="U75" s="24">
        <f>30000</f>
        <v>30000</v>
      </c>
      <c r="V75" s="24"/>
      <c r="W75" s="24">
        <f>50000</f>
        <v>50000</v>
      </c>
      <c r="X75" s="24"/>
      <c r="Y75" s="24"/>
    </row>
    <row r="76" spans="1:25" s="79" customFormat="1" ht="19.5" customHeight="1" x14ac:dyDescent="0.25">
      <c r="A76" s="144" t="s">
        <v>128</v>
      </c>
      <c r="B76" s="95"/>
      <c r="C76" s="41"/>
      <c r="D76" s="42"/>
      <c r="E76" s="43">
        <f>F76+G76+H76+I76+K76+M76+N76+P76+J76+S76+T76+U76+V76+W76+X76+Y76</f>
        <v>750816</v>
      </c>
      <c r="F76" s="43"/>
      <c r="G76" s="43">
        <f>750816</f>
        <v>750816</v>
      </c>
      <c r="H76" s="43"/>
      <c r="I76" s="43"/>
      <c r="J76" s="43"/>
      <c r="K76" s="43"/>
      <c r="L76" s="43"/>
      <c r="M76" s="43"/>
      <c r="N76" s="43"/>
      <c r="O76" s="43"/>
      <c r="P76" s="43"/>
      <c r="Q76" s="153"/>
      <c r="R76" s="153"/>
      <c r="S76" s="43"/>
      <c r="T76" s="43"/>
      <c r="U76" s="43"/>
      <c r="V76" s="43"/>
      <c r="W76" s="43"/>
      <c r="X76" s="43"/>
      <c r="Y76" s="43"/>
    </row>
    <row r="77" spans="1:25" ht="45.75" customHeight="1" x14ac:dyDescent="0.25">
      <c r="A77" s="182" t="s">
        <v>273</v>
      </c>
      <c r="B77" s="163" t="s">
        <v>124</v>
      </c>
      <c r="C77" s="164">
        <v>246</v>
      </c>
      <c r="D77" s="167"/>
      <c r="E77" s="24">
        <f>F77+G77+H77+I77+M77+N77+P77+J77+S77+T77+U77+V77+W77+X77+Y77</f>
        <v>0</v>
      </c>
      <c r="F77" s="168"/>
      <c r="G77" s="168"/>
      <c r="H77" s="168"/>
      <c r="I77" s="168"/>
      <c r="J77" s="168"/>
      <c r="K77" s="168"/>
      <c r="L77" s="168"/>
      <c r="M77" s="168"/>
      <c r="N77" s="168"/>
      <c r="O77" s="168"/>
      <c r="P77" s="168"/>
      <c r="Q77" s="169"/>
      <c r="R77" s="169"/>
      <c r="S77" s="168"/>
      <c r="T77" s="168"/>
      <c r="U77" s="168"/>
      <c r="V77" s="168"/>
      <c r="W77" s="168"/>
      <c r="X77" s="168"/>
      <c r="Y77" s="24"/>
    </row>
    <row r="78" spans="1:25" x14ac:dyDescent="0.25">
      <c r="A78" s="183" t="s">
        <v>259</v>
      </c>
      <c r="B78" s="165" t="s">
        <v>261</v>
      </c>
      <c r="C78" s="166">
        <v>247</v>
      </c>
      <c r="D78" s="61"/>
      <c r="E78" s="59">
        <f>F78+G78+H78+I78+M78+N78+P78+J78+S78+T78+U78+V78+W78+X78+Y78</f>
        <v>430774</v>
      </c>
      <c r="F78" s="154"/>
      <c r="G78" s="60"/>
      <c r="H78" s="60"/>
      <c r="I78" s="59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0">
        <v>30774</v>
      </c>
      <c r="V78" s="60">
        <v>400000</v>
      </c>
      <c r="W78" s="61"/>
      <c r="X78" s="61"/>
      <c r="Y78" s="61"/>
    </row>
    <row r="79" spans="1:25" ht="30" x14ac:dyDescent="0.25">
      <c r="A79" s="66" t="s">
        <v>122</v>
      </c>
      <c r="B79" s="171" t="s">
        <v>262</v>
      </c>
      <c r="C79" s="19">
        <v>400</v>
      </c>
      <c r="D79" s="21"/>
      <c r="E79" s="22">
        <f>+E80+E81</f>
        <v>0</v>
      </c>
      <c r="F79" s="24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1"/>
      <c r="R79" s="21"/>
      <c r="S79" s="22"/>
      <c r="T79" s="22"/>
      <c r="U79" s="22"/>
      <c r="V79" s="22"/>
      <c r="W79" s="22"/>
      <c r="X79" s="22"/>
      <c r="Y79" s="22"/>
    </row>
    <row r="80" spans="1:25" ht="45" x14ac:dyDescent="0.25">
      <c r="A80" s="71" t="s">
        <v>109</v>
      </c>
      <c r="B80" s="171" t="s">
        <v>263</v>
      </c>
      <c r="C80" s="19">
        <v>406</v>
      </c>
      <c r="D80" s="21"/>
      <c r="E80" s="22"/>
      <c r="F80" s="24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1"/>
      <c r="R80" s="21"/>
      <c r="S80" s="22"/>
      <c r="T80" s="22"/>
      <c r="U80" s="22"/>
      <c r="V80" s="22"/>
      <c r="W80" s="22"/>
      <c r="X80" s="22"/>
      <c r="Y80" s="22"/>
    </row>
    <row r="81" spans="1:25" ht="30" x14ac:dyDescent="0.25">
      <c r="A81" s="71" t="s">
        <v>110</v>
      </c>
      <c r="B81" s="171" t="s">
        <v>264</v>
      </c>
      <c r="C81" s="19">
        <v>407</v>
      </c>
      <c r="D81" s="21"/>
      <c r="E81" s="22"/>
      <c r="F81" s="24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1"/>
      <c r="R81" s="21"/>
      <c r="S81" s="22"/>
      <c r="T81" s="22"/>
      <c r="U81" s="22"/>
      <c r="V81" s="22"/>
      <c r="W81" s="22"/>
      <c r="X81" s="22"/>
      <c r="Y81" s="22"/>
    </row>
    <row r="82" spans="1:25" x14ac:dyDescent="0.25">
      <c r="A82" s="71" t="s">
        <v>288</v>
      </c>
      <c r="B82" s="171" t="s">
        <v>289</v>
      </c>
      <c r="C82" s="19">
        <v>880</v>
      </c>
      <c r="D82" s="21"/>
      <c r="E82" s="22"/>
      <c r="F82" s="24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1"/>
      <c r="R82" s="21"/>
      <c r="S82" s="22"/>
      <c r="T82" s="22"/>
      <c r="U82" s="22"/>
      <c r="V82" s="22"/>
      <c r="W82" s="22"/>
      <c r="X82" s="22"/>
      <c r="Y82" s="22"/>
    </row>
    <row r="83" spans="1:25" x14ac:dyDescent="0.25">
      <c r="A83" s="68" t="s">
        <v>111</v>
      </c>
      <c r="B83" s="5" t="s">
        <v>112</v>
      </c>
      <c r="C83" s="18">
        <v>100</v>
      </c>
      <c r="D83" s="28"/>
      <c r="E83" s="20"/>
      <c r="F83" s="25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1"/>
      <c r="R83" s="21"/>
      <c r="S83" s="20"/>
      <c r="T83" s="20"/>
      <c r="U83" s="20"/>
      <c r="V83" s="20"/>
      <c r="W83" s="20"/>
      <c r="X83" s="20"/>
      <c r="Y83" s="20"/>
    </row>
    <row r="84" spans="1:25" x14ac:dyDescent="0.25">
      <c r="A84" s="71" t="s">
        <v>225</v>
      </c>
      <c r="B84" s="3" t="s">
        <v>113</v>
      </c>
      <c r="C84" s="19"/>
      <c r="D84" s="21"/>
      <c r="E84" s="22"/>
      <c r="F84" s="24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1"/>
      <c r="R84" s="21"/>
      <c r="S84" s="22"/>
      <c r="T84" s="22"/>
      <c r="U84" s="22"/>
      <c r="V84" s="22"/>
      <c r="W84" s="22"/>
      <c r="X84" s="22"/>
      <c r="Y84" s="22"/>
    </row>
    <row r="85" spans="1:25" x14ac:dyDescent="0.25">
      <c r="A85" s="71" t="s">
        <v>115</v>
      </c>
      <c r="B85" s="3" t="s">
        <v>116</v>
      </c>
      <c r="C85" s="19"/>
      <c r="D85" s="21"/>
      <c r="E85" s="22"/>
      <c r="F85" s="24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1"/>
      <c r="R85" s="21"/>
      <c r="S85" s="22"/>
      <c r="T85" s="22"/>
      <c r="U85" s="22"/>
      <c r="V85" s="22"/>
      <c r="W85" s="22"/>
      <c r="X85" s="22"/>
      <c r="Y85" s="22"/>
    </row>
    <row r="86" spans="1:25" x14ac:dyDescent="0.25">
      <c r="A86" s="71" t="s">
        <v>118</v>
      </c>
      <c r="B86" s="3" t="s">
        <v>117</v>
      </c>
      <c r="C86" s="19"/>
      <c r="D86" s="21"/>
      <c r="E86" s="22"/>
      <c r="F86" s="24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1"/>
      <c r="R86" s="21"/>
      <c r="S86" s="22"/>
      <c r="T86" s="22"/>
      <c r="U86" s="22"/>
      <c r="V86" s="22"/>
      <c r="W86" s="22"/>
      <c r="X86" s="22"/>
      <c r="Y86" s="22"/>
    </row>
    <row r="87" spans="1:25" x14ac:dyDescent="0.25">
      <c r="A87" s="68" t="s">
        <v>119</v>
      </c>
      <c r="B87" s="5" t="s">
        <v>120</v>
      </c>
      <c r="C87" s="18" t="s">
        <v>20</v>
      </c>
      <c r="D87" s="28"/>
      <c r="E87" s="20"/>
      <c r="F87" s="25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1"/>
      <c r="R87" s="21"/>
      <c r="S87" s="20"/>
      <c r="T87" s="20"/>
      <c r="U87" s="20"/>
      <c r="V87" s="20"/>
      <c r="W87" s="20"/>
      <c r="X87" s="20"/>
      <c r="Y87" s="20"/>
    </row>
    <row r="88" spans="1:25" x14ac:dyDescent="0.25">
      <c r="A88" s="71" t="s">
        <v>224</v>
      </c>
      <c r="B88" s="3" t="s">
        <v>121</v>
      </c>
      <c r="C88" s="19">
        <v>610</v>
      </c>
      <c r="D88" s="21"/>
      <c r="E88" s="25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1"/>
      <c r="R88" s="21"/>
      <c r="S88" s="22"/>
      <c r="T88" s="22"/>
      <c r="U88" s="22"/>
      <c r="V88" s="22"/>
      <c r="W88" s="22"/>
      <c r="X88" s="22"/>
      <c r="Y88" s="22"/>
    </row>
    <row r="89" spans="1:25" x14ac:dyDescent="0.25">
      <c r="E89" s="36" t="s">
        <v>212</v>
      </c>
    </row>
  </sheetData>
  <mergeCells count="21">
    <mergeCell ref="A1:U1"/>
    <mergeCell ref="A2:A4"/>
    <mergeCell ref="B2:B4"/>
    <mergeCell ref="U3:U4"/>
    <mergeCell ref="R3:R4"/>
    <mergeCell ref="T3:T4"/>
    <mergeCell ref="P3:P4"/>
    <mergeCell ref="C2:C4"/>
    <mergeCell ref="D2:D4"/>
    <mergeCell ref="G2:R2"/>
    <mergeCell ref="S2:S4"/>
    <mergeCell ref="E2:E4"/>
    <mergeCell ref="F2:F4"/>
    <mergeCell ref="T2:Y2"/>
    <mergeCell ref="G3:L3"/>
    <mergeCell ref="M3:N3"/>
    <mergeCell ref="V3:V4"/>
    <mergeCell ref="W3:W4"/>
    <mergeCell ref="X3:X4"/>
    <mergeCell ref="Y3:Y4"/>
    <mergeCell ref="O3:O4"/>
  </mergeCells>
  <pageMargins left="0.19685039370078741" right="7.874015748031496E-2" top="0.31496062992125984" bottom="0.31496062992125984" header="0.31496062992125984" footer="0.31496062992125984"/>
  <pageSetup paperSize="9" scale="42" fitToHeight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9"/>
  <sheetViews>
    <sheetView view="pageBreakPreview" zoomScale="60" zoomScaleNormal="33" workbookViewId="0">
      <selection activeCell="A4" sqref="A4:XFD4"/>
    </sheetView>
  </sheetViews>
  <sheetFormatPr defaultColWidth="9.140625" defaultRowHeight="15" x14ac:dyDescent="0.25"/>
  <cols>
    <col min="1" max="1" width="136.140625" style="34" customWidth="1"/>
    <col min="2" max="2" width="22" style="4" customWidth="1"/>
    <col min="3" max="3" width="28.7109375" style="35" customWidth="1"/>
    <col min="4" max="4" width="17.42578125" style="36" customWidth="1"/>
    <col min="5" max="10" width="19.140625" style="36" hidden="1" customWidth="1"/>
    <col min="11" max="21" width="14.7109375" style="36" hidden="1" customWidth="1"/>
    <col min="22" max="22" width="21.7109375" style="36" customWidth="1"/>
    <col min="23" max="23" width="24.140625" style="17" hidden="1" customWidth="1"/>
    <col min="24" max="41" width="0" style="17" hidden="1" customWidth="1"/>
    <col min="42" max="16384" width="9.140625" style="17"/>
  </cols>
  <sheetData>
    <row r="1" spans="1:41" ht="31.9" customHeight="1" x14ac:dyDescent="0.25">
      <c r="A1" s="274" t="s">
        <v>193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  <c r="S1" s="274"/>
      <c r="T1" s="274"/>
      <c r="U1" s="274"/>
      <c r="V1" s="274"/>
    </row>
    <row r="2" spans="1:41" s="67" customFormat="1" ht="75.599999999999994" customHeight="1" x14ac:dyDescent="0.25">
      <c r="A2" s="275"/>
      <c r="B2" s="276" t="s">
        <v>12</v>
      </c>
      <c r="C2" s="275" t="s">
        <v>13</v>
      </c>
      <c r="D2" s="275" t="s">
        <v>14</v>
      </c>
      <c r="E2" s="264" t="s">
        <v>165</v>
      </c>
      <c r="F2" s="264" t="s">
        <v>166</v>
      </c>
      <c r="G2" s="264" t="s">
        <v>167</v>
      </c>
      <c r="H2" s="264"/>
      <c r="I2" s="264"/>
      <c r="J2" s="264"/>
      <c r="K2" s="264"/>
      <c r="L2" s="264" t="s">
        <v>168</v>
      </c>
      <c r="M2" s="266" t="s">
        <v>170</v>
      </c>
      <c r="N2" s="264"/>
      <c r="O2" s="264"/>
      <c r="P2" s="264"/>
      <c r="Q2" s="264"/>
      <c r="R2" s="264"/>
      <c r="S2" s="264"/>
      <c r="T2" s="264"/>
      <c r="U2" s="66"/>
      <c r="V2" s="279" t="s">
        <v>16</v>
      </c>
      <c r="W2" s="264" t="s">
        <v>165</v>
      </c>
      <c r="X2" s="264" t="s">
        <v>166</v>
      </c>
      <c r="Y2" s="264" t="s">
        <v>167</v>
      </c>
      <c r="Z2" s="264"/>
      <c r="AA2" s="264"/>
      <c r="AB2" s="264"/>
      <c r="AC2" s="264"/>
      <c r="AD2" s="264" t="s">
        <v>168</v>
      </c>
      <c r="AE2" s="265" t="s">
        <v>169</v>
      </c>
      <c r="AF2" s="266" t="s">
        <v>170</v>
      </c>
      <c r="AG2" s="264"/>
      <c r="AH2" s="264"/>
      <c r="AI2" s="264"/>
      <c r="AJ2" s="264"/>
      <c r="AK2" s="264"/>
      <c r="AL2" s="264"/>
      <c r="AM2" s="264"/>
      <c r="AN2" s="264"/>
      <c r="AO2" s="264"/>
    </row>
    <row r="3" spans="1:41" s="67" customFormat="1" ht="74.25" customHeight="1" x14ac:dyDescent="0.25">
      <c r="A3" s="275"/>
      <c r="B3" s="276"/>
      <c r="C3" s="275"/>
      <c r="D3" s="275"/>
      <c r="E3" s="264"/>
      <c r="F3" s="264"/>
      <c r="G3" s="9"/>
      <c r="H3" s="10"/>
      <c r="I3" s="64"/>
      <c r="J3" s="64"/>
      <c r="K3" s="64"/>
      <c r="L3" s="264"/>
      <c r="M3" s="11" t="s">
        <v>173</v>
      </c>
      <c r="N3" s="9" t="s">
        <v>174</v>
      </c>
      <c r="O3" s="9" t="s">
        <v>175</v>
      </c>
      <c r="P3" s="9" t="s">
        <v>176</v>
      </c>
      <c r="Q3" s="9" t="s">
        <v>177</v>
      </c>
      <c r="R3" s="9" t="s">
        <v>178</v>
      </c>
      <c r="S3" s="9" t="s">
        <v>179</v>
      </c>
      <c r="T3" s="9" t="s">
        <v>180</v>
      </c>
      <c r="U3" s="81" t="s">
        <v>15</v>
      </c>
      <c r="V3" s="280"/>
      <c r="W3" s="264"/>
      <c r="X3" s="264"/>
      <c r="Y3" s="9" t="s">
        <v>171</v>
      </c>
      <c r="Z3" s="10" t="s">
        <v>172</v>
      </c>
      <c r="AA3" s="64"/>
      <c r="AB3" s="64"/>
      <c r="AC3" s="64"/>
      <c r="AD3" s="264"/>
      <c r="AE3" s="265"/>
      <c r="AF3" s="11" t="s">
        <v>173</v>
      </c>
      <c r="AG3" s="9" t="s">
        <v>174</v>
      </c>
      <c r="AH3" s="9" t="s">
        <v>175</v>
      </c>
      <c r="AI3" s="9" t="s">
        <v>176</v>
      </c>
      <c r="AJ3" s="9" t="s">
        <v>177</v>
      </c>
      <c r="AK3" s="9"/>
      <c r="AL3" s="9"/>
      <c r="AM3" s="9" t="s">
        <v>178</v>
      </c>
      <c r="AN3" s="9" t="s">
        <v>179</v>
      </c>
      <c r="AO3" s="9" t="s">
        <v>180</v>
      </c>
    </row>
    <row r="4" spans="1:41" s="221" customFormat="1" ht="12.75" x14ac:dyDescent="0.25">
      <c r="A4" s="213">
        <v>1</v>
      </c>
      <c r="B4" s="214">
        <v>2</v>
      </c>
      <c r="C4" s="215">
        <v>3</v>
      </c>
      <c r="D4" s="215">
        <v>4</v>
      </c>
      <c r="E4" s="215">
        <v>5</v>
      </c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>
        <v>7</v>
      </c>
      <c r="V4" s="215">
        <v>8</v>
      </c>
    </row>
    <row r="5" spans="1:41" x14ac:dyDescent="0.25">
      <c r="A5" s="68" t="s">
        <v>18</v>
      </c>
      <c r="B5" s="5" t="s">
        <v>19</v>
      </c>
      <c r="C5" s="18" t="s">
        <v>20</v>
      </c>
      <c r="D5" s="18" t="s">
        <v>20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</row>
    <row r="6" spans="1:41" x14ac:dyDescent="0.25">
      <c r="A6" s="68" t="s">
        <v>21</v>
      </c>
      <c r="B6" s="5" t="s">
        <v>22</v>
      </c>
      <c r="C6" s="18" t="s">
        <v>20</v>
      </c>
      <c r="D6" s="18" t="s">
        <v>20</v>
      </c>
      <c r="E6" s="20">
        <f>+E5+E7-E32</f>
        <v>0</v>
      </c>
      <c r="F6" s="20">
        <f>+F5+F7-F32</f>
        <v>0</v>
      </c>
      <c r="G6" s="20">
        <f t="shared" ref="G6:U6" si="0">+G5+G7-G32</f>
        <v>0</v>
      </c>
      <c r="H6" s="20">
        <f t="shared" si="0"/>
        <v>0</v>
      </c>
      <c r="I6" s="20">
        <f t="shared" si="0"/>
        <v>0</v>
      </c>
      <c r="J6" s="20">
        <f t="shared" si="0"/>
        <v>0</v>
      </c>
      <c r="K6" s="20">
        <f t="shared" si="0"/>
        <v>0</v>
      </c>
      <c r="L6" s="20">
        <f t="shared" si="0"/>
        <v>0</v>
      </c>
      <c r="M6" s="20">
        <f t="shared" si="0"/>
        <v>0</v>
      </c>
      <c r="N6" s="20">
        <f t="shared" si="0"/>
        <v>0</v>
      </c>
      <c r="O6" s="20">
        <f t="shared" si="0"/>
        <v>0</v>
      </c>
      <c r="P6" s="20">
        <f t="shared" si="0"/>
        <v>0</v>
      </c>
      <c r="Q6" s="20">
        <f t="shared" si="0"/>
        <v>0</v>
      </c>
      <c r="R6" s="20">
        <f t="shared" si="0"/>
        <v>0</v>
      </c>
      <c r="S6" s="20">
        <f t="shared" si="0"/>
        <v>0</v>
      </c>
      <c r="T6" s="20">
        <f t="shared" si="0"/>
        <v>0</v>
      </c>
      <c r="U6" s="20">
        <f t="shared" si="0"/>
        <v>0</v>
      </c>
      <c r="V6" s="20"/>
    </row>
    <row r="7" spans="1:41" x14ac:dyDescent="0.25">
      <c r="A7" s="69" t="s">
        <v>23</v>
      </c>
      <c r="B7" s="6" t="s">
        <v>29</v>
      </c>
      <c r="C7" s="46"/>
      <c r="D7" s="70"/>
      <c r="E7" s="56">
        <f>+E8+E10+E14+E17+E18+E26</f>
        <v>0</v>
      </c>
      <c r="F7" s="56">
        <f>+F8+F10+F14+F17+F18+F26</f>
        <v>0</v>
      </c>
      <c r="G7" s="56">
        <f t="shared" ref="G7:U7" si="1">+G8+G10+G14+G17+G18+G26</f>
        <v>0</v>
      </c>
      <c r="H7" s="56">
        <f t="shared" si="1"/>
        <v>0</v>
      </c>
      <c r="I7" s="56">
        <f t="shared" si="1"/>
        <v>0</v>
      </c>
      <c r="J7" s="56">
        <f t="shared" si="1"/>
        <v>0</v>
      </c>
      <c r="K7" s="56">
        <f t="shared" si="1"/>
        <v>0</v>
      </c>
      <c r="L7" s="56">
        <f t="shared" si="1"/>
        <v>0</v>
      </c>
      <c r="M7" s="56">
        <f t="shared" si="1"/>
        <v>0</v>
      </c>
      <c r="N7" s="56">
        <f t="shared" si="1"/>
        <v>0</v>
      </c>
      <c r="O7" s="56">
        <f t="shared" si="1"/>
        <v>0</v>
      </c>
      <c r="P7" s="56">
        <f t="shared" si="1"/>
        <v>0</v>
      </c>
      <c r="Q7" s="56">
        <f t="shared" si="1"/>
        <v>0</v>
      </c>
      <c r="R7" s="56">
        <f t="shared" si="1"/>
        <v>0</v>
      </c>
      <c r="S7" s="56">
        <f t="shared" si="1"/>
        <v>0</v>
      </c>
      <c r="T7" s="56">
        <f t="shared" si="1"/>
        <v>0</v>
      </c>
      <c r="U7" s="56">
        <f t="shared" si="1"/>
        <v>0</v>
      </c>
      <c r="V7" s="56">
        <f>+V8+V10+V14+V17+V18+V26</f>
        <v>0</v>
      </c>
    </row>
    <row r="8" spans="1:41" ht="30" x14ac:dyDescent="0.25">
      <c r="A8" s="66" t="s">
        <v>30</v>
      </c>
      <c r="B8" s="3" t="s">
        <v>31</v>
      </c>
      <c r="C8" s="19">
        <v>120</v>
      </c>
      <c r="D8" s="21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</row>
    <row r="9" spans="1:41" x14ac:dyDescent="0.25">
      <c r="A9" s="66" t="s">
        <v>24</v>
      </c>
      <c r="B9" s="3" t="s">
        <v>32</v>
      </c>
      <c r="C9" s="19"/>
      <c r="D9" s="21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</row>
    <row r="10" spans="1:41" x14ac:dyDescent="0.25">
      <c r="A10" s="47" t="s">
        <v>25</v>
      </c>
      <c r="B10" s="5" t="s">
        <v>33</v>
      </c>
      <c r="C10" s="18">
        <v>130</v>
      </c>
      <c r="D10" s="20"/>
      <c r="E10" s="20">
        <f>+E11+E12</f>
        <v>0</v>
      </c>
      <c r="F10" s="20">
        <f>+F11+F12</f>
        <v>0</v>
      </c>
      <c r="G10" s="20">
        <f t="shared" ref="G10:V10" si="2">+G11+G12</f>
        <v>0</v>
      </c>
      <c r="H10" s="20">
        <f t="shared" si="2"/>
        <v>0</v>
      </c>
      <c r="I10" s="20">
        <f t="shared" si="2"/>
        <v>0</v>
      </c>
      <c r="J10" s="20">
        <f t="shared" si="2"/>
        <v>0</v>
      </c>
      <c r="K10" s="20">
        <f t="shared" si="2"/>
        <v>0</v>
      </c>
      <c r="L10" s="20">
        <f t="shared" si="2"/>
        <v>0</v>
      </c>
      <c r="M10" s="20">
        <f t="shared" si="2"/>
        <v>0</v>
      </c>
      <c r="N10" s="20">
        <f t="shared" si="2"/>
        <v>0</v>
      </c>
      <c r="O10" s="20">
        <f t="shared" si="2"/>
        <v>0</v>
      </c>
      <c r="P10" s="20">
        <f t="shared" si="2"/>
        <v>0</v>
      </c>
      <c r="Q10" s="20">
        <f t="shared" si="2"/>
        <v>0</v>
      </c>
      <c r="R10" s="20">
        <f t="shared" si="2"/>
        <v>0</v>
      </c>
      <c r="S10" s="20">
        <f t="shared" si="2"/>
        <v>0</v>
      </c>
      <c r="T10" s="20">
        <f t="shared" si="2"/>
        <v>0</v>
      </c>
      <c r="U10" s="20">
        <f t="shared" si="2"/>
        <v>0</v>
      </c>
      <c r="V10" s="20">
        <f t="shared" si="2"/>
        <v>0</v>
      </c>
    </row>
    <row r="11" spans="1:41" ht="45" x14ac:dyDescent="0.25">
      <c r="A11" s="115" t="s">
        <v>34</v>
      </c>
      <c r="B11" s="3" t="s">
        <v>35</v>
      </c>
      <c r="C11" s="19">
        <v>130</v>
      </c>
      <c r="D11" s="21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</row>
    <row r="12" spans="1:41" ht="30" x14ac:dyDescent="0.25">
      <c r="A12" s="71" t="s">
        <v>26</v>
      </c>
      <c r="B12" s="3" t="s">
        <v>36</v>
      </c>
      <c r="C12" s="19">
        <v>130</v>
      </c>
      <c r="D12" s="21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</row>
    <row r="13" spans="1:41" x14ac:dyDescent="0.25">
      <c r="A13" s="71" t="s">
        <v>211</v>
      </c>
      <c r="B13" s="3" t="s">
        <v>205</v>
      </c>
      <c r="C13" s="19">
        <v>130</v>
      </c>
      <c r="D13" s="21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</row>
    <row r="14" spans="1:41" x14ac:dyDescent="0.25">
      <c r="A14" s="68" t="s">
        <v>27</v>
      </c>
      <c r="B14" s="5" t="s">
        <v>37</v>
      </c>
      <c r="C14" s="18">
        <v>140</v>
      </c>
      <c r="D14" s="28"/>
      <c r="E14" s="20">
        <f>+E15+E16</f>
        <v>0</v>
      </c>
      <c r="F14" s="20">
        <f>+F15+F16</f>
        <v>0</v>
      </c>
      <c r="G14" s="20">
        <f t="shared" ref="G14:V14" si="3">+G15+G16</f>
        <v>0</v>
      </c>
      <c r="H14" s="20">
        <f t="shared" si="3"/>
        <v>0</v>
      </c>
      <c r="I14" s="20">
        <f t="shared" si="3"/>
        <v>0</v>
      </c>
      <c r="J14" s="20">
        <f t="shared" si="3"/>
        <v>0</v>
      </c>
      <c r="K14" s="20">
        <f t="shared" si="3"/>
        <v>0</v>
      </c>
      <c r="L14" s="20">
        <f t="shared" si="3"/>
        <v>0</v>
      </c>
      <c r="M14" s="20">
        <f t="shared" si="3"/>
        <v>0</v>
      </c>
      <c r="N14" s="20">
        <f t="shared" si="3"/>
        <v>0</v>
      </c>
      <c r="O14" s="20">
        <f t="shared" si="3"/>
        <v>0</v>
      </c>
      <c r="P14" s="20">
        <f t="shared" si="3"/>
        <v>0</v>
      </c>
      <c r="Q14" s="20">
        <f t="shared" si="3"/>
        <v>0</v>
      </c>
      <c r="R14" s="20">
        <f t="shared" si="3"/>
        <v>0</v>
      </c>
      <c r="S14" s="20">
        <f t="shared" si="3"/>
        <v>0</v>
      </c>
      <c r="T14" s="20">
        <f t="shared" si="3"/>
        <v>0</v>
      </c>
      <c r="U14" s="20">
        <f t="shared" si="3"/>
        <v>0</v>
      </c>
      <c r="V14" s="20">
        <f t="shared" si="3"/>
        <v>0</v>
      </c>
    </row>
    <row r="15" spans="1:41" x14ac:dyDescent="0.25">
      <c r="A15" s="71" t="s">
        <v>24</v>
      </c>
      <c r="B15" s="3" t="s">
        <v>38</v>
      </c>
      <c r="C15" s="19">
        <v>140</v>
      </c>
      <c r="D15" s="21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>
        <v>0</v>
      </c>
    </row>
    <row r="16" spans="1:41" ht="17.25" hidden="1" customHeight="1" x14ac:dyDescent="0.25">
      <c r="A16" s="66"/>
      <c r="B16" s="3"/>
      <c r="C16" s="19"/>
      <c r="D16" s="21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</row>
    <row r="17" spans="1:22" hidden="1" x14ac:dyDescent="0.25">
      <c r="A17" s="66"/>
      <c r="B17" s="3"/>
      <c r="C17" s="19"/>
      <c r="D17" s="28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:22" ht="16.5" hidden="1" customHeight="1" x14ac:dyDescent="0.25">
      <c r="A18" s="66"/>
      <c r="B18" s="3"/>
      <c r="C18" s="19"/>
      <c r="D18" s="21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</row>
    <row r="19" spans="1:22" x14ac:dyDescent="0.25">
      <c r="A19" s="68" t="s">
        <v>28</v>
      </c>
      <c r="B19" s="5" t="s">
        <v>39</v>
      </c>
      <c r="C19" s="18">
        <v>150</v>
      </c>
      <c r="D19" s="28"/>
      <c r="E19" s="20">
        <f>+E20+E24</f>
        <v>0</v>
      </c>
      <c r="F19" s="20">
        <f>+F20+F24</f>
        <v>0</v>
      </c>
      <c r="G19" s="20">
        <f t="shared" ref="G19:V19" si="4">+G20+G24</f>
        <v>0</v>
      </c>
      <c r="H19" s="20">
        <f t="shared" si="4"/>
        <v>0</v>
      </c>
      <c r="I19" s="20">
        <f t="shared" si="4"/>
        <v>0</v>
      </c>
      <c r="J19" s="20">
        <f t="shared" si="4"/>
        <v>0</v>
      </c>
      <c r="K19" s="20">
        <f t="shared" si="4"/>
        <v>0</v>
      </c>
      <c r="L19" s="20">
        <f t="shared" si="4"/>
        <v>0</v>
      </c>
      <c r="M19" s="20">
        <f t="shared" si="4"/>
        <v>0</v>
      </c>
      <c r="N19" s="20">
        <f t="shared" si="4"/>
        <v>0</v>
      </c>
      <c r="O19" s="20">
        <f t="shared" si="4"/>
        <v>0</v>
      </c>
      <c r="P19" s="20">
        <f t="shared" si="4"/>
        <v>0</v>
      </c>
      <c r="Q19" s="20">
        <f t="shared" si="4"/>
        <v>0</v>
      </c>
      <c r="R19" s="20">
        <f t="shared" si="4"/>
        <v>0</v>
      </c>
      <c r="S19" s="20">
        <f t="shared" si="4"/>
        <v>0</v>
      </c>
      <c r="T19" s="20">
        <f t="shared" si="4"/>
        <v>0</v>
      </c>
      <c r="U19" s="20">
        <f t="shared" si="4"/>
        <v>0</v>
      </c>
      <c r="V19" s="20">
        <f t="shared" si="4"/>
        <v>0</v>
      </c>
    </row>
    <row r="20" spans="1:22" ht="30" x14ac:dyDescent="0.25">
      <c r="A20" s="115" t="s">
        <v>48</v>
      </c>
      <c r="B20" s="3" t="s">
        <v>227</v>
      </c>
      <c r="C20" s="19">
        <v>150</v>
      </c>
      <c r="D20" s="21"/>
      <c r="E20" s="22">
        <f>+E21+E22+E23</f>
        <v>0</v>
      </c>
      <c r="F20" s="22">
        <f>+F21+F22+F23</f>
        <v>0</v>
      </c>
      <c r="G20" s="22">
        <f t="shared" ref="G20:V20" si="5">+G21+G22+G23</f>
        <v>0</v>
      </c>
      <c r="H20" s="22">
        <f t="shared" si="5"/>
        <v>0</v>
      </c>
      <c r="I20" s="22">
        <f t="shared" si="5"/>
        <v>0</v>
      </c>
      <c r="J20" s="22">
        <f t="shared" si="5"/>
        <v>0</v>
      </c>
      <c r="K20" s="22">
        <f t="shared" si="5"/>
        <v>0</v>
      </c>
      <c r="L20" s="22">
        <f t="shared" si="5"/>
        <v>0</v>
      </c>
      <c r="M20" s="22">
        <f t="shared" si="5"/>
        <v>0</v>
      </c>
      <c r="N20" s="22">
        <f t="shared" si="5"/>
        <v>0</v>
      </c>
      <c r="O20" s="22">
        <f t="shared" si="5"/>
        <v>0</v>
      </c>
      <c r="P20" s="22">
        <f t="shared" si="5"/>
        <v>0</v>
      </c>
      <c r="Q20" s="22">
        <f t="shared" si="5"/>
        <v>0</v>
      </c>
      <c r="R20" s="22">
        <f t="shared" si="5"/>
        <v>0</v>
      </c>
      <c r="S20" s="22">
        <f t="shared" si="5"/>
        <v>0</v>
      </c>
      <c r="T20" s="22">
        <f t="shared" si="5"/>
        <v>0</v>
      </c>
      <c r="U20" s="22">
        <f t="shared" si="5"/>
        <v>0</v>
      </c>
      <c r="V20" s="22">
        <f t="shared" si="5"/>
        <v>0</v>
      </c>
    </row>
    <row r="21" spans="1:22" hidden="1" x14ac:dyDescent="0.25">
      <c r="A21" s="71"/>
      <c r="B21" s="3"/>
      <c r="C21" s="19"/>
      <c r="D21" s="21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</row>
    <row r="22" spans="1:22" ht="14.25" customHeight="1" x14ac:dyDescent="0.25">
      <c r="A22" s="71" t="s">
        <v>42</v>
      </c>
      <c r="B22" s="3" t="s">
        <v>228</v>
      </c>
      <c r="C22" s="19">
        <v>150</v>
      </c>
      <c r="D22" s="21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</row>
    <row r="23" spans="1:22" ht="15" customHeight="1" x14ac:dyDescent="0.25">
      <c r="A23" s="71" t="s">
        <v>229</v>
      </c>
      <c r="B23" s="3" t="s">
        <v>230</v>
      </c>
      <c r="C23" s="19">
        <v>150</v>
      </c>
      <c r="D23" s="21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</row>
    <row r="24" spans="1:22" x14ac:dyDescent="0.25">
      <c r="A24" s="68" t="s">
        <v>40</v>
      </c>
      <c r="B24" s="5" t="s">
        <v>41</v>
      </c>
      <c r="C24" s="18">
        <v>180</v>
      </c>
      <c r="D24" s="21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</row>
    <row r="25" spans="1:22" x14ac:dyDescent="0.25">
      <c r="A25" s="71"/>
      <c r="B25" s="3"/>
      <c r="C25" s="19"/>
      <c r="D25" s="21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</row>
    <row r="26" spans="1:22" ht="28.5" x14ac:dyDescent="0.25">
      <c r="A26" s="68" t="s">
        <v>43</v>
      </c>
      <c r="B26" s="5" t="s">
        <v>44</v>
      </c>
      <c r="C26" s="18"/>
      <c r="D26" s="28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</row>
    <row r="27" spans="1:22" x14ac:dyDescent="0.25">
      <c r="A27" s="66" t="s">
        <v>24</v>
      </c>
      <c r="B27" s="3"/>
      <c r="C27" s="19"/>
      <c r="D27" s="21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</row>
    <row r="28" spans="1:22" ht="17.25" hidden="1" customHeight="1" x14ac:dyDescent="0.25">
      <c r="A28" s="66"/>
      <c r="B28" s="3"/>
      <c r="C28" s="19"/>
      <c r="D28" s="21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</row>
    <row r="29" spans="1:22" x14ac:dyDescent="0.25">
      <c r="A29" s="66" t="s">
        <v>45</v>
      </c>
      <c r="B29" s="3" t="s">
        <v>46</v>
      </c>
      <c r="C29" s="19" t="s">
        <v>20</v>
      </c>
      <c r="D29" s="21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</row>
    <row r="30" spans="1:22" ht="30" x14ac:dyDescent="0.25">
      <c r="A30" s="66" t="s">
        <v>197</v>
      </c>
      <c r="B30" s="3" t="s">
        <v>47</v>
      </c>
      <c r="C30" s="19">
        <v>510</v>
      </c>
      <c r="D30" s="21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9" t="s">
        <v>20</v>
      </c>
    </row>
    <row r="31" spans="1:22" ht="15" hidden="1" customHeight="1" x14ac:dyDescent="0.25">
      <c r="A31" s="66"/>
      <c r="B31" s="3"/>
      <c r="C31" s="19"/>
      <c r="D31" s="21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9" t="s">
        <v>20</v>
      </c>
    </row>
    <row r="32" spans="1:22" x14ac:dyDescent="0.25">
      <c r="A32" s="68" t="s">
        <v>49</v>
      </c>
      <c r="B32" s="5" t="s">
        <v>52</v>
      </c>
      <c r="C32" s="18" t="s">
        <v>20</v>
      </c>
      <c r="D32" s="28"/>
      <c r="E32" s="20">
        <f>+E33+E45+E52+E56+E63+E65+E82+E86</f>
        <v>0</v>
      </c>
      <c r="F32" s="20">
        <f>+F33+F45+F52+F56+F63+F65+F82+F86</f>
        <v>0</v>
      </c>
      <c r="G32" s="20">
        <f t="shared" ref="G32:U32" si="6">+G33+G45+G52+G56+G63+G65+G82+G86</f>
        <v>0</v>
      </c>
      <c r="H32" s="20">
        <f t="shared" si="6"/>
        <v>0</v>
      </c>
      <c r="I32" s="20">
        <f t="shared" si="6"/>
        <v>0</v>
      </c>
      <c r="J32" s="20">
        <f t="shared" si="6"/>
        <v>0</v>
      </c>
      <c r="K32" s="20">
        <f t="shared" si="6"/>
        <v>0</v>
      </c>
      <c r="L32" s="20">
        <f t="shared" si="6"/>
        <v>0</v>
      </c>
      <c r="M32" s="20">
        <f t="shared" si="6"/>
        <v>0</v>
      </c>
      <c r="N32" s="20">
        <f t="shared" si="6"/>
        <v>0</v>
      </c>
      <c r="O32" s="20">
        <f t="shared" si="6"/>
        <v>0</v>
      </c>
      <c r="P32" s="20">
        <f t="shared" si="6"/>
        <v>0</v>
      </c>
      <c r="Q32" s="20">
        <f t="shared" si="6"/>
        <v>0</v>
      </c>
      <c r="R32" s="20">
        <f t="shared" si="6"/>
        <v>0</v>
      </c>
      <c r="S32" s="20">
        <f t="shared" si="6"/>
        <v>0</v>
      </c>
      <c r="T32" s="20">
        <f t="shared" si="6"/>
        <v>0</v>
      </c>
      <c r="U32" s="20">
        <f t="shared" si="6"/>
        <v>0</v>
      </c>
      <c r="V32" s="31" t="s">
        <v>20</v>
      </c>
    </row>
    <row r="33" spans="1:22" ht="28.5" x14ac:dyDescent="0.25">
      <c r="A33" s="68" t="s">
        <v>50</v>
      </c>
      <c r="B33" s="5" t="s">
        <v>53</v>
      </c>
      <c r="C33" s="18" t="s">
        <v>20</v>
      </c>
      <c r="D33" s="28"/>
      <c r="E33" s="20">
        <f>+E34+E37+E40+E41+E42</f>
        <v>0</v>
      </c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31" t="s">
        <v>20</v>
      </c>
    </row>
    <row r="34" spans="1:22" ht="30" x14ac:dyDescent="0.25">
      <c r="A34" s="71" t="s">
        <v>51</v>
      </c>
      <c r="B34" s="3" t="s">
        <v>54</v>
      </c>
      <c r="C34" s="19">
        <v>111</v>
      </c>
      <c r="D34" s="21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9" t="s">
        <v>20</v>
      </c>
    </row>
    <row r="35" spans="1:22" x14ac:dyDescent="0.25">
      <c r="A35" s="71" t="s">
        <v>55</v>
      </c>
      <c r="B35" s="3" t="s">
        <v>56</v>
      </c>
      <c r="C35" s="19">
        <v>112</v>
      </c>
      <c r="D35" s="21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9" t="s">
        <v>20</v>
      </c>
    </row>
    <row r="36" spans="1:22" x14ac:dyDescent="0.25">
      <c r="A36" s="71" t="s">
        <v>58</v>
      </c>
      <c r="B36" s="3" t="s">
        <v>57</v>
      </c>
      <c r="C36" s="19">
        <v>113</v>
      </c>
      <c r="D36" s="21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9" t="s">
        <v>20</v>
      </c>
    </row>
    <row r="37" spans="1:22" x14ac:dyDescent="0.25">
      <c r="A37" s="71" t="s">
        <v>59</v>
      </c>
      <c r="B37" s="3" t="s">
        <v>60</v>
      </c>
      <c r="C37" s="19">
        <v>119</v>
      </c>
      <c r="D37" s="21"/>
      <c r="E37" s="22">
        <f>+E38+E39</f>
        <v>0</v>
      </c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9" t="s">
        <v>20</v>
      </c>
    </row>
    <row r="38" spans="1:22" ht="30" x14ac:dyDescent="0.25">
      <c r="A38" s="71" t="s">
        <v>62</v>
      </c>
      <c r="B38" s="3" t="s">
        <v>61</v>
      </c>
      <c r="C38" s="19">
        <v>119</v>
      </c>
      <c r="D38" s="21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9" t="s">
        <v>20</v>
      </c>
    </row>
    <row r="39" spans="1:22" x14ac:dyDescent="0.25">
      <c r="A39" s="71" t="s">
        <v>63</v>
      </c>
      <c r="B39" s="3" t="s">
        <v>65</v>
      </c>
      <c r="C39" s="19">
        <v>119</v>
      </c>
      <c r="D39" s="21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9" t="s">
        <v>20</v>
      </c>
    </row>
    <row r="40" spans="1:22" x14ac:dyDescent="0.25">
      <c r="A40" s="66" t="s">
        <v>64</v>
      </c>
      <c r="B40" s="3" t="s">
        <v>66</v>
      </c>
      <c r="C40" s="19">
        <v>131</v>
      </c>
      <c r="D40" s="21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9" t="s">
        <v>20</v>
      </c>
    </row>
    <row r="41" spans="1:22" x14ac:dyDescent="0.25">
      <c r="A41" s="66" t="s">
        <v>231</v>
      </c>
      <c r="B41" s="3" t="s">
        <v>67</v>
      </c>
      <c r="C41" s="19">
        <v>133</v>
      </c>
      <c r="D41" s="21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9" t="s">
        <v>20</v>
      </c>
    </row>
    <row r="42" spans="1:22" ht="18.75" customHeight="1" x14ac:dyDescent="0.25">
      <c r="A42" s="34" t="s">
        <v>232</v>
      </c>
      <c r="B42" s="3" t="s">
        <v>69</v>
      </c>
      <c r="C42" s="19">
        <v>134</v>
      </c>
      <c r="D42" s="21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9" t="s">
        <v>20</v>
      </c>
    </row>
    <row r="43" spans="1:22" x14ac:dyDescent="0.25">
      <c r="A43" s="66" t="s">
        <v>68</v>
      </c>
      <c r="B43" s="3" t="s">
        <v>233</v>
      </c>
      <c r="C43" s="19">
        <v>139</v>
      </c>
      <c r="D43" s="21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9" t="s">
        <v>20</v>
      </c>
    </row>
    <row r="44" spans="1:22" ht="30" x14ac:dyDescent="0.25">
      <c r="A44" s="71" t="s">
        <v>70</v>
      </c>
      <c r="B44" s="3" t="s">
        <v>234</v>
      </c>
      <c r="C44" s="19">
        <v>139</v>
      </c>
      <c r="D44" s="21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9" t="s">
        <v>20</v>
      </c>
    </row>
    <row r="45" spans="1:22" x14ac:dyDescent="0.25">
      <c r="A45" s="68" t="s">
        <v>72</v>
      </c>
      <c r="B45" s="5" t="s">
        <v>71</v>
      </c>
      <c r="C45" s="18">
        <v>300</v>
      </c>
      <c r="D45" s="28"/>
      <c r="E45" s="20">
        <f>+E46+E47</f>
        <v>0</v>
      </c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31" t="s">
        <v>20</v>
      </c>
    </row>
    <row r="46" spans="1:22" ht="30" x14ac:dyDescent="0.25">
      <c r="A46" s="71" t="s">
        <v>73</v>
      </c>
      <c r="B46" s="3" t="s">
        <v>74</v>
      </c>
      <c r="C46" s="159">
        <v>320</v>
      </c>
      <c r="D46" s="21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9" t="s">
        <v>20</v>
      </c>
    </row>
    <row r="47" spans="1:22" ht="30" x14ac:dyDescent="0.25">
      <c r="A47" s="71" t="s">
        <v>101</v>
      </c>
      <c r="B47" s="3" t="s">
        <v>75</v>
      </c>
      <c r="C47" s="19">
        <v>321</v>
      </c>
      <c r="D47" s="21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9" t="s">
        <v>20</v>
      </c>
    </row>
    <row r="48" spans="1:22" ht="14.25" hidden="1" customHeight="1" x14ac:dyDescent="0.25">
      <c r="A48" s="71"/>
      <c r="B48" s="3"/>
      <c r="C48" s="19"/>
      <c r="D48" s="21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</row>
    <row r="49" spans="1:22" ht="19.5" customHeight="1" x14ac:dyDescent="0.25">
      <c r="A49" s="71" t="s">
        <v>76</v>
      </c>
      <c r="B49" s="3" t="s">
        <v>77</v>
      </c>
      <c r="C49" s="19">
        <v>340</v>
      </c>
      <c r="D49" s="21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9" t="s">
        <v>20</v>
      </c>
    </row>
    <row r="50" spans="1:22" ht="30" x14ac:dyDescent="0.25">
      <c r="A50" s="71" t="s">
        <v>79</v>
      </c>
      <c r="B50" s="3" t="s">
        <v>78</v>
      </c>
      <c r="C50" s="19">
        <v>350</v>
      </c>
      <c r="D50" s="21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9" t="s">
        <v>20</v>
      </c>
    </row>
    <row r="51" spans="1:22" x14ac:dyDescent="0.25">
      <c r="A51" s="71" t="s">
        <v>235</v>
      </c>
      <c r="B51" s="3" t="s">
        <v>80</v>
      </c>
      <c r="C51" s="19">
        <v>360</v>
      </c>
      <c r="D51" s="21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9" t="s">
        <v>20</v>
      </c>
    </row>
    <row r="52" spans="1:22" x14ac:dyDescent="0.25">
      <c r="A52" s="68" t="s">
        <v>82</v>
      </c>
      <c r="B52" s="5" t="s">
        <v>81</v>
      </c>
      <c r="C52" s="18">
        <v>850</v>
      </c>
      <c r="D52" s="28"/>
      <c r="E52" s="20">
        <f>+E53+E54+E55</f>
        <v>0</v>
      </c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31" t="s">
        <v>20</v>
      </c>
    </row>
    <row r="53" spans="1:22" ht="30" x14ac:dyDescent="0.25">
      <c r="A53" s="71" t="s">
        <v>83</v>
      </c>
      <c r="B53" s="3" t="s">
        <v>84</v>
      </c>
      <c r="C53" s="19">
        <v>851</v>
      </c>
      <c r="D53" s="21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9" t="s">
        <v>20</v>
      </c>
    </row>
    <row r="54" spans="1:22" x14ac:dyDescent="0.25">
      <c r="A54" s="71" t="s">
        <v>86</v>
      </c>
      <c r="B54" s="3" t="s">
        <v>85</v>
      </c>
      <c r="C54" s="19">
        <v>852</v>
      </c>
      <c r="D54" s="21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9" t="s">
        <v>20</v>
      </c>
    </row>
    <row r="55" spans="1:22" x14ac:dyDescent="0.25">
      <c r="A55" s="71" t="s">
        <v>87</v>
      </c>
      <c r="B55" s="3" t="s">
        <v>88</v>
      </c>
      <c r="C55" s="19">
        <v>853</v>
      </c>
      <c r="D55" s="21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9" t="s">
        <v>20</v>
      </c>
    </row>
    <row r="56" spans="1:22" x14ac:dyDescent="0.25">
      <c r="A56" s="68" t="s">
        <v>90</v>
      </c>
      <c r="B56" s="5" t="s">
        <v>89</v>
      </c>
      <c r="C56" s="18" t="s">
        <v>20</v>
      </c>
      <c r="D56" s="28"/>
      <c r="E56" s="20">
        <f>+E57+E58+E62</f>
        <v>0</v>
      </c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31" t="s">
        <v>20</v>
      </c>
    </row>
    <row r="57" spans="1:22" x14ac:dyDescent="0.25">
      <c r="A57" s="71" t="s">
        <v>236</v>
      </c>
      <c r="B57" s="3" t="s">
        <v>91</v>
      </c>
      <c r="C57" s="159">
        <v>613</v>
      </c>
      <c r="D57" s="21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9" t="s">
        <v>20</v>
      </c>
    </row>
    <row r="58" spans="1:22" x14ac:dyDescent="0.25">
      <c r="A58" s="71" t="s">
        <v>237</v>
      </c>
      <c r="B58" s="3" t="s">
        <v>92</v>
      </c>
      <c r="C58" s="159">
        <v>623</v>
      </c>
      <c r="D58" s="21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9" t="s">
        <v>20</v>
      </c>
    </row>
    <row r="59" spans="1:22" x14ac:dyDescent="0.25">
      <c r="A59" s="71" t="s">
        <v>238</v>
      </c>
      <c r="B59" s="3" t="s">
        <v>95</v>
      </c>
      <c r="C59" s="159">
        <v>634</v>
      </c>
      <c r="D59" s="21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9"/>
    </row>
    <row r="60" spans="1:22" x14ac:dyDescent="0.25">
      <c r="A60" s="71" t="s">
        <v>239</v>
      </c>
      <c r="B60" s="3" t="s">
        <v>240</v>
      </c>
      <c r="C60" s="19">
        <v>810</v>
      </c>
      <c r="D60" s="21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9"/>
    </row>
    <row r="61" spans="1:22" x14ac:dyDescent="0.25">
      <c r="A61" s="71" t="s">
        <v>93</v>
      </c>
      <c r="B61" s="3" t="s">
        <v>241</v>
      </c>
      <c r="C61" s="19">
        <v>862</v>
      </c>
      <c r="D61" s="21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9"/>
    </row>
    <row r="62" spans="1:22" x14ac:dyDescent="0.25">
      <c r="A62" s="71" t="s">
        <v>94</v>
      </c>
      <c r="B62" s="3" t="s">
        <v>242</v>
      </c>
      <c r="C62" s="19">
        <v>863</v>
      </c>
      <c r="D62" s="21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9" t="s">
        <v>20</v>
      </c>
    </row>
    <row r="63" spans="1:22" ht="28.5" customHeight="1" x14ac:dyDescent="0.25">
      <c r="A63" s="68" t="s">
        <v>97</v>
      </c>
      <c r="B63" s="5" t="s">
        <v>98</v>
      </c>
      <c r="C63" s="18" t="s">
        <v>20</v>
      </c>
      <c r="D63" s="28"/>
      <c r="E63" s="20">
        <f>+E64</f>
        <v>0</v>
      </c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31" t="s">
        <v>20</v>
      </c>
    </row>
    <row r="64" spans="1:22" ht="30" x14ac:dyDescent="0.25">
      <c r="A64" s="71" t="s">
        <v>100</v>
      </c>
      <c r="B64" s="3" t="s">
        <v>99</v>
      </c>
      <c r="C64" s="19">
        <v>831</v>
      </c>
      <c r="D64" s="21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9" t="s">
        <v>20</v>
      </c>
    </row>
    <row r="65" spans="1:22" x14ac:dyDescent="0.25">
      <c r="A65" s="68" t="s">
        <v>102</v>
      </c>
      <c r="B65" s="5" t="s">
        <v>96</v>
      </c>
      <c r="C65" s="18" t="s">
        <v>20</v>
      </c>
      <c r="D65" s="28"/>
      <c r="E65" s="20">
        <f>+E66+E67+E68+E69+E78+E70</f>
        <v>0</v>
      </c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</row>
    <row r="66" spans="1:22" ht="30" x14ac:dyDescent="0.25">
      <c r="A66" s="71" t="s">
        <v>104</v>
      </c>
      <c r="B66" s="3" t="s">
        <v>103</v>
      </c>
      <c r="C66" s="19">
        <v>241</v>
      </c>
      <c r="D66" s="21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</row>
    <row r="67" spans="1:22" hidden="1" x14ac:dyDescent="0.25">
      <c r="A67" s="71"/>
      <c r="B67" s="3"/>
      <c r="C67" s="19"/>
      <c r="D67" s="21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</row>
    <row r="68" spans="1:22" x14ac:dyDescent="0.25">
      <c r="A68" s="71" t="s">
        <v>106</v>
      </c>
      <c r="B68" s="3" t="s">
        <v>105</v>
      </c>
      <c r="C68" s="19">
        <v>243</v>
      </c>
      <c r="D68" s="21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</row>
    <row r="69" spans="1:22" x14ac:dyDescent="0.25">
      <c r="A69" s="71" t="s">
        <v>107</v>
      </c>
      <c r="B69" s="3" t="s">
        <v>108</v>
      </c>
      <c r="C69" s="19">
        <v>244</v>
      </c>
      <c r="D69" s="21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</row>
    <row r="70" spans="1:22" ht="30" x14ac:dyDescent="0.25">
      <c r="A70" s="33" t="s">
        <v>129</v>
      </c>
      <c r="B70" s="3" t="s">
        <v>130</v>
      </c>
      <c r="C70" s="19">
        <v>244</v>
      </c>
      <c r="D70" s="21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</row>
    <row r="71" spans="1:22" x14ac:dyDescent="0.25">
      <c r="A71" s="33" t="s">
        <v>123</v>
      </c>
      <c r="B71" s="3"/>
      <c r="C71" s="19"/>
      <c r="D71" s="21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</row>
    <row r="72" spans="1:22" x14ac:dyDescent="0.25">
      <c r="A72" s="33" t="s">
        <v>125</v>
      </c>
      <c r="B72" s="3" t="s">
        <v>131</v>
      </c>
      <c r="C72" s="19">
        <v>244</v>
      </c>
      <c r="D72" s="21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</row>
    <row r="73" spans="1:22" ht="14.25" customHeight="1" x14ac:dyDescent="0.25">
      <c r="A73" s="33" t="s">
        <v>126</v>
      </c>
      <c r="B73" s="3" t="s">
        <v>132</v>
      </c>
      <c r="C73" s="19">
        <v>244</v>
      </c>
      <c r="D73" s="21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</row>
    <row r="74" spans="1:22" ht="18" customHeight="1" x14ac:dyDescent="0.25">
      <c r="A74" s="33" t="s">
        <v>127</v>
      </c>
      <c r="B74" s="3" t="s">
        <v>133</v>
      </c>
      <c r="C74" s="19">
        <v>244</v>
      </c>
      <c r="D74" s="21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</row>
    <row r="75" spans="1:22" ht="13.5" customHeight="1" x14ac:dyDescent="0.25">
      <c r="A75" s="33" t="s">
        <v>128</v>
      </c>
      <c r="B75" s="3"/>
      <c r="C75" s="19"/>
      <c r="D75" s="21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</row>
    <row r="76" spans="1:22" ht="18" customHeight="1" x14ac:dyDescent="0.25">
      <c r="A76" s="170" t="s">
        <v>260</v>
      </c>
      <c r="B76" s="163" t="s">
        <v>124</v>
      </c>
      <c r="C76" s="164">
        <v>246</v>
      </c>
      <c r="D76" s="21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</row>
    <row r="77" spans="1:22" s="80" customFormat="1" ht="21" customHeight="1" x14ac:dyDescent="0.25">
      <c r="A77" s="158" t="s">
        <v>259</v>
      </c>
      <c r="B77" s="163" t="s">
        <v>261</v>
      </c>
      <c r="C77" s="164">
        <v>247</v>
      </c>
      <c r="D77" s="106"/>
      <c r="E77" s="107"/>
      <c r="F77" s="107"/>
      <c r="G77" s="107"/>
      <c r="H77" s="107"/>
      <c r="I77" s="107"/>
      <c r="J77" s="107"/>
      <c r="K77" s="107"/>
      <c r="L77" s="107"/>
      <c r="M77" s="107"/>
      <c r="N77" s="107"/>
      <c r="O77" s="107"/>
      <c r="P77" s="107"/>
      <c r="Q77" s="107"/>
      <c r="R77" s="107"/>
      <c r="S77" s="107"/>
      <c r="T77" s="107"/>
      <c r="U77" s="107"/>
      <c r="V77" s="107"/>
    </row>
    <row r="78" spans="1:22" x14ac:dyDescent="0.25">
      <c r="A78" s="66" t="s">
        <v>122</v>
      </c>
      <c r="B78" s="171" t="s">
        <v>262</v>
      </c>
      <c r="C78" s="19">
        <v>400</v>
      </c>
      <c r="D78" s="21"/>
      <c r="E78" s="22">
        <f>+E79+E80</f>
        <v>0</v>
      </c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</row>
    <row r="79" spans="1:22" ht="30" x14ac:dyDescent="0.25">
      <c r="A79" s="71" t="s">
        <v>109</v>
      </c>
      <c r="B79" s="171" t="s">
        <v>263</v>
      </c>
      <c r="C79" s="19">
        <v>406</v>
      </c>
      <c r="D79" s="21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</row>
    <row r="80" spans="1:22" x14ac:dyDescent="0.25">
      <c r="A80" s="71" t="s">
        <v>110</v>
      </c>
      <c r="B80" s="171" t="s">
        <v>264</v>
      </c>
      <c r="C80" s="19">
        <v>407</v>
      </c>
      <c r="D80" s="21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</row>
    <row r="81" spans="1:22" x14ac:dyDescent="0.25">
      <c r="A81" s="71" t="s">
        <v>288</v>
      </c>
      <c r="B81" s="171" t="s">
        <v>289</v>
      </c>
      <c r="C81" s="19">
        <v>880</v>
      </c>
      <c r="D81" s="21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</row>
    <row r="82" spans="1:22" x14ac:dyDescent="0.25">
      <c r="A82" s="68" t="s">
        <v>111</v>
      </c>
      <c r="B82" s="5" t="s">
        <v>112</v>
      </c>
      <c r="C82" s="18">
        <v>100</v>
      </c>
      <c r="D82" s="28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31" t="s">
        <v>20</v>
      </c>
    </row>
    <row r="83" spans="1:22" ht="30" x14ac:dyDescent="0.25">
      <c r="A83" s="71" t="s">
        <v>114</v>
      </c>
      <c r="B83" s="3" t="s">
        <v>113</v>
      </c>
      <c r="C83" s="19"/>
      <c r="D83" s="21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9" t="s">
        <v>20</v>
      </c>
    </row>
    <row r="84" spans="1:22" x14ac:dyDescent="0.25">
      <c r="A84" s="71" t="s">
        <v>115</v>
      </c>
      <c r="B84" s="3" t="s">
        <v>116</v>
      </c>
      <c r="C84" s="19"/>
      <c r="D84" s="21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9" t="s">
        <v>20</v>
      </c>
    </row>
    <row r="85" spans="1:22" x14ac:dyDescent="0.25">
      <c r="A85" s="71" t="s">
        <v>118</v>
      </c>
      <c r="B85" s="3" t="s">
        <v>117</v>
      </c>
      <c r="C85" s="19"/>
      <c r="D85" s="21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9" t="s">
        <v>20</v>
      </c>
    </row>
    <row r="86" spans="1:22" x14ac:dyDescent="0.25">
      <c r="A86" s="68" t="s">
        <v>119</v>
      </c>
      <c r="B86" s="5" t="s">
        <v>120</v>
      </c>
      <c r="C86" s="18" t="s">
        <v>20</v>
      </c>
      <c r="D86" s="28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31" t="s">
        <v>20</v>
      </c>
    </row>
    <row r="87" spans="1:22" x14ac:dyDescent="0.25">
      <c r="A87" s="71" t="s">
        <v>224</v>
      </c>
      <c r="B87" s="3" t="s">
        <v>121</v>
      </c>
      <c r="C87" s="19">
        <v>610</v>
      </c>
      <c r="D87" s="21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9" t="s">
        <v>20</v>
      </c>
    </row>
    <row r="89" spans="1:22" x14ac:dyDescent="0.25">
      <c r="A89" s="274"/>
      <c r="B89" s="274"/>
      <c r="C89" s="274"/>
      <c r="D89" s="274"/>
      <c r="E89" s="274"/>
      <c r="F89" s="274"/>
      <c r="G89" s="274"/>
      <c r="H89" s="274"/>
      <c r="I89" s="274"/>
      <c r="J89" s="274"/>
      <c r="K89" s="274"/>
      <c r="L89" s="274"/>
      <c r="M89" s="274"/>
      <c r="N89" s="274"/>
      <c r="O89" s="274"/>
      <c r="P89" s="274"/>
      <c r="Q89" s="274"/>
      <c r="R89" s="274"/>
      <c r="S89" s="274"/>
      <c r="T89" s="274"/>
      <c r="U89" s="274"/>
    </row>
  </sheetData>
  <mergeCells count="18">
    <mergeCell ref="A89:U89"/>
    <mergeCell ref="W2:W3"/>
    <mergeCell ref="A1:V1"/>
    <mergeCell ref="A2:A3"/>
    <mergeCell ref="B2:B3"/>
    <mergeCell ref="C2:C3"/>
    <mergeCell ref="D2:D3"/>
    <mergeCell ref="E2:E3"/>
    <mergeCell ref="F2:F3"/>
    <mergeCell ref="G2:K2"/>
    <mergeCell ref="L2:L3"/>
    <mergeCell ref="M2:T2"/>
    <mergeCell ref="V2:V3"/>
    <mergeCell ref="X2:X3"/>
    <mergeCell ref="Y2:AC2"/>
    <mergeCell ref="AD2:AD3"/>
    <mergeCell ref="AE2:AE3"/>
    <mergeCell ref="AF2:AO2"/>
  </mergeCells>
  <pageMargins left="0.2" right="0.2" top="0.31496062992125984" bottom="0.31496062992125984" header="0.31496062992125984" footer="0.31496062992125984"/>
  <pageSetup paperSize="9" scale="63" fitToHeight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9"/>
  <sheetViews>
    <sheetView view="pageBreakPreview" topLeftCell="A28" zoomScale="60" zoomScaleNormal="53" workbookViewId="0">
      <selection activeCell="B62" sqref="B62"/>
    </sheetView>
  </sheetViews>
  <sheetFormatPr defaultColWidth="9.140625" defaultRowHeight="15" x14ac:dyDescent="0.25"/>
  <cols>
    <col min="1" max="1" width="12.140625" style="1" customWidth="1"/>
    <col min="2" max="2" width="139.42578125" style="1" customWidth="1"/>
    <col min="3" max="3" width="13" style="1" customWidth="1"/>
    <col min="4" max="4" width="8" style="1" customWidth="1"/>
    <col min="5" max="6" width="16.28515625" style="1" customWidth="1"/>
    <col min="7" max="9" width="23" style="2" customWidth="1"/>
    <col min="10" max="10" width="13.140625" style="1" customWidth="1"/>
  </cols>
  <sheetData>
    <row r="1" spans="1:10" ht="24" customHeight="1" x14ac:dyDescent="0.25">
      <c r="A1" s="289" t="s">
        <v>164</v>
      </c>
      <c r="B1" s="267"/>
      <c r="C1" s="267"/>
      <c r="D1" s="267"/>
      <c r="E1" s="267"/>
      <c r="F1" s="267"/>
      <c r="G1" s="267"/>
      <c r="H1" s="267"/>
      <c r="I1" s="267"/>
      <c r="J1" s="267"/>
    </row>
    <row r="2" spans="1:10" ht="14.45" customHeight="1" x14ac:dyDescent="0.25">
      <c r="A2" s="276" t="s">
        <v>134</v>
      </c>
      <c r="B2" s="275" t="s">
        <v>11</v>
      </c>
      <c r="C2" s="275" t="s">
        <v>135</v>
      </c>
      <c r="D2" s="275" t="s">
        <v>136</v>
      </c>
      <c r="E2" s="275" t="s">
        <v>280</v>
      </c>
      <c r="F2" s="275" t="s">
        <v>281</v>
      </c>
      <c r="G2" s="275" t="s">
        <v>17</v>
      </c>
      <c r="H2" s="275"/>
      <c r="I2" s="275"/>
      <c r="J2" s="275"/>
    </row>
    <row r="3" spans="1:10" ht="66.75" customHeight="1" x14ac:dyDescent="0.25">
      <c r="A3" s="276"/>
      <c r="B3" s="275"/>
      <c r="C3" s="275"/>
      <c r="D3" s="275"/>
      <c r="E3" s="275"/>
      <c r="F3" s="275"/>
      <c r="G3" s="81" t="s">
        <v>294</v>
      </c>
      <c r="H3" s="81" t="s">
        <v>293</v>
      </c>
      <c r="I3" s="81" t="s">
        <v>292</v>
      </c>
      <c r="J3" s="81" t="s">
        <v>16</v>
      </c>
    </row>
    <row r="4" spans="1:10" s="209" customFormat="1" ht="12.75" x14ac:dyDescent="0.2">
      <c r="A4" s="222">
        <v>1</v>
      </c>
      <c r="B4" s="219">
        <v>2</v>
      </c>
      <c r="C4" s="219">
        <v>3</v>
      </c>
      <c r="D4" s="219">
        <v>4</v>
      </c>
      <c r="E4" s="222" t="s">
        <v>243</v>
      </c>
      <c r="F4" s="222" t="s">
        <v>268</v>
      </c>
      <c r="G4" s="219">
        <v>5</v>
      </c>
      <c r="H4" s="219">
        <v>6</v>
      </c>
      <c r="I4" s="219">
        <v>7</v>
      </c>
      <c r="J4" s="219">
        <v>8</v>
      </c>
    </row>
    <row r="5" spans="1:10" s="134" customFormat="1" ht="24" customHeight="1" x14ac:dyDescent="0.25">
      <c r="A5" s="130">
        <v>1</v>
      </c>
      <c r="B5" s="131" t="s">
        <v>184</v>
      </c>
      <c r="C5" s="132">
        <v>26000</v>
      </c>
      <c r="D5" s="132" t="s">
        <v>137</v>
      </c>
      <c r="E5" s="132"/>
      <c r="F5" s="132"/>
      <c r="G5" s="133">
        <f>G6+G8+G9+G14</f>
        <v>16314149.380000001</v>
      </c>
      <c r="H5" s="133">
        <f>H6+H8+H9+H14</f>
        <v>5671976.1299999999</v>
      </c>
      <c r="I5" s="133">
        <f>I6+I8+I9+I14</f>
        <v>5603976.1299999999</v>
      </c>
      <c r="J5" s="133">
        <f>J6+J8+J9+J14+J44</f>
        <v>0</v>
      </c>
    </row>
    <row r="6" spans="1:10" x14ac:dyDescent="0.25">
      <c r="A6" s="293" t="s">
        <v>138</v>
      </c>
      <c r="B6" s="8" t="s">
        <v>24</v>
      </c>
      <c r="C6" s="292">
        <v>26100</v>
      </c>
      <c r="D6" s="292" t="s">
        <v>137</v>
      </c>
      <c r="E6" s="292"/>
      <c r="F6" s="235"/>
      <c r="G6" s="290"/>
      <c r="H6" s="290"/>
      <c r="I6" s="290"/>
      <c r="J6" s="290"/>
    </row>
    <row r="7" spans="1:10" ht="82.5" customHeight="1" x14ac:dyDescent="0.25">
      <c r="A7" s="293"/>
      <c r="B7" s="8" t="s">
        <v>185</v>
      </c>
      <c r="C7" s="292"/>
      <c r="D7" s="292"/>
      <c r="E7" s="292"/>
      <c r="F7" s="235"/>
      <c r="G7" s="290"/>
      <c r="H7" s="290"/>
      <c r="I7" s="290"/>
      <c r="J7" s="290"/>
    </row>
    <row r="8" spans="1:10" ht="30" x14ac:dyDescent="0.25">
      <c r="A8" s="234" t="s">
        <v>139</v>
      </c>
      <c r="B8" s="8" t="s">
        <v>186</v>
      </c>
      <c r="C8" s="235">
        <v>26200</v>
      </c>
      <c r="D8" s="235" t="s">
        <v>137</v>
      </c>
      <c r="E8" s="235"/>
      <c r="F8" s="235"/>
      <c r="G8" s="232"/>
      <c r="H8" s="232"/>
      <c r="I8" s="232"/>
      <c r="J8" s="232"/>
    </row>
    <row r="9" spans="1:10" s="62" customFormat="1" ht="30" x14ac:dyDescent="0.25">
      <c r="A9" s="223" t="s">
        <v>140</v>
      </c>
      <c r="B9" s="224" t="s">
        <v>187</v>
      </c>
      <c r="C9" s="225">
        <v>26300</v>
      </c>
      <c r="D9" s="225" t="s">
        <v>137</v>
      </c>
      <c r="E9" s="225"/>
      <c r="F9" s="225"/>
      <c r="G9" s="226">
        <f>G13</f>
        <v>2006340.42</v>
      </c>
      <c r="H9" s="226"/>
      <c r="I9" s="226"/>
      <c r="J9" s="226"/>
    </row>
    <row r="10" spans="1:10" x14ac:dyDescent="0.25">
      <c r="A10" s="234" t="s">
        <v>244</v>
      </c>
      <c r="B10" s="117" t="s">
        <v>245</v>
      </c>
      <c r="C10" s="235">
        <v>26310</v>
      </c>
      <c r="D10" s="235" t="s">
        <v>137</v>
      </c>
      <c r="E10" s="235"/>
      <c r="F10" s="235"/>
      <c r="G10" s="232"/>
      <c r="H10" s="232"/>
      <c r="I10" s="232"/>
      <c r="J10" s="232"/>
    </row>
    <row r="11" spans="1:10" ht="18" x14ac:dyDescent="0.25">
      <c r="A11" s="118"/>
      <c r="B11" s="119" t="s">
        <v>246</v>
      </c>
      <c r="C11" s="116" t="s">
        <v>247</v>
      </c>
      <c r="D11" s="116" t="s">
        <v>137</v>
      </c>
      <c r="E11" s="116"/>
      <c r="F11" s="116"/>
      <c r="G11" s="232"/>
      <c r="H11" s="232"/>
      <c r="I11" s="232"/>
      <c r="J11" s="232"/>
    </row>
    <row r="12" spans="1:10" s="177" customFormat="1" ht="18" x14ac:dyDescent="0.25">
      <c r="A12" s="118"/>
      <c r="B12" s="119" t="s">
        <v>285</v>
      </c>
      <c r="C12" s="116" t="s">
        <v>247</v>
      </c>
      <c r="D12" s="116" t="s">
        <v>137</v>
      </c>
      <c r="E12" s="116"/>
      <c r="F12" s="116"/>
      <c r="G12" s="232"/>
      <c r="H12" s="232"/>
      <c r="I12" s="232"/>
      <c r="J12" s="232"/>
    </row>
    <row r="13" spans="1:10" s="63" customFormat="1" x14ac:dyDescent="0.25">
      <c r="A13" s="223" t="s">
        <v>248</v>
      </c>
      <c r="B13" s="176" t="s">
        <v>159</v>
      </c>
      <c r="C13" s="225">
        <v>26320</v>
      </c>
      <c r="D13" s="225" t="s">
        <v>137</v>
      </c>
      <c r="E13" s="225"/>
      <c r="F13" s="225"/>
      <c r="G13" s="226">
        <v>2006340.42</v>
      </c>
      <c r="H13" s="226"/>
      <c r="I13" s="226"/>
      <c r="J13" s="226"/>
    </row>
    <row r="14" spans="1:10" s="63" customFormat="1" ht="30" x14ac:dyDescent="0.25">
      <c r="A14" s="126" t="s">
        <v>141</v>
      </c>
      <c r="B14" s="127" t="s">
        <v>188</v>
      </c>
      <c r="C14" s="128">
        <v>26400</v>
      </c>
      <c r="D14" s="128" t="s">
        <v>137</v>
      </c>
      <c r="E14" s="128"/>
      <c r="F14" s="128"/>
      <c r="G14" s="129">
        <f>+G15+G24+G29+G32+G36</f>
        <v>14307808.960000001</v>
      </c>
      <c r="H14" s="129">
        <f>+H15+H24+H29+H32+H36</f>
        <v>5671976.1299999999</v>
      </c>
      <c r="I14" s="129">
        <f>+I15+I24+I29+I32+I36</f>
        <v>5603976.1299999999</v>
      </c>
      <c r="J14" s="129">
        <f>+J15+J24+J29+J32+J36</f>
        <v>0</v>
      </c>
    </row>
    <row r="15" spans="1:10" s="63" customFormat="1" ht="18.75" customHeight="1" x14ac:dyDescent="0.25">
      <c r="A15" s="285" t="s">
        <v>198</v>
      </c>
      <c r="B15" s="124" t="s">
        <v>24</v>
      </c>
      <c r="C15" s="286">
        <v>26410</v>
      </c>
      <c r="D15" s="286" t="s">
        <v>137</v>
      </c>
      <c r="E15" s="286"/>
      <c r="F15" s="230"/>
      <c r="G15" s="294">
        <f>+G17+G19</f>
        <v>6034764.7999999998</v>
      </c>
      <c r="H15" s="294">
        <f t="shared" ref="H15:J15" si="0">+H17+H19</f>
        <v>572260</v>
      </c>
      <c r="I15" s="294">
        <f t="shared" si="0"/>
        <v>572260</v>
      </c>
      <c r="J15" s="294">
        <f t="shared" si="0"/>
        <v>0</v>
      </c>
    </row>
    <row r="16" spans="1:10" s="62" customFormat="1" x14ac:dyDescent="0.25">
      <c r="A16" s="285"/>
      <c r="B16" s="124" t="s">
        <v>142</v>
      </c>
      <c r="C16" s="286"/>
      <c r="D16" s="286"/>
      <c r="E16" s="286"/>
      <c r="F16" s="230"/>
      <c r="G16" s="294"/>
      <c r="H16" s="294"/>
      <c r="I16" s="294"/>
      <c r="J16" s="294"/>
    </row>
    <row r="17" spans="1:10" s="62" customFormat="1" x14ac:dyDescent="0.25">
      <c r="A17" s="287" t="s">
        <v>143</v>
      </c>
      <c r="B17" s="7" t="s">
        <v>24</v>
      </c>
      <c r="C17" s="288">
        <v>26411</v>
      </c>
      <c r="D17" s="288" t="s">
        <v>137</v>
      </c>
      <c r="E17" s="288"/>
      <c r="F17" s="9"/>
      <c r="G17" s="291"/>
      <c r="H17" s="291"/>
      <c r="I17" s="291"/>
      <c r="J17" s="291"/>
    </row>
    <row r="18" spans="1:10" x14ac:dyDescent="0.25">
      <c r="A18" s="287"/>
      <c r="B18" s="12" t="s">
        <v>144</v>
      </c>
      <c r="C18" s="288"/>
      <c r="D18" s="288"/>
      <c r="E18" s="288"/>
      <c r="F18" s="9"/>
      <c r="G18" s="291"/>
      <c r="H18" s="291"/>
      <c r="I18" s="291"/>
      <c r="J18" s="291"/>
    </row>
    <row r="19" spans="1:10" s="62" customFormat="1" ht="14.45" customHeight="1" x14ac:dyDescent="0.25">
      <c r="A19" s="137" t="s">
        <v>145</v>
      </c>
      <c r="B19" s="176" t="s">
        <v>159</v>
      </c>
      <c r="C19" s="123">
        <v>26412</v>
      </c>
      <c r="D19" s="123" t="s">
        <v>137</v>
      </c>
      <c r="E19" s="123"/>
      <c r="F19" s="123"/>
      <c r="G19" s="233">
        <f>'2024'!F66-G9</f>
        <v>6034764.7999999998</v>
      </c>
      <c r="H19" s="233">
        <f>'2025'!F66</f>
        <v>572260</v>
      </c>
      <c r="I19" s="233">
        <f>'2026'!F66</f>
        <v>572260</v>
      </c>
      <c r="J19" s="233"/>
    </row>
    <row r="20" spans="1:10" ht="14.45" customHeight="1" x14ac:dyDescent="0.25">
      <c r="A20" s="64" t="s">
        <v>252</v>
      </c>
      <c r="B20" s="135" t="s">
        <v>253</v>
      </c>
      <c r="C20" s="9">
        <v>26413</v>
      </c>
      <c r="D20" s="9" t="s">
        <v>137</v>
      </c>
      <c r="E20" s="136"/>
      <c r="F20" s="136"/>
      <c r="G20" s="136"/>
      <c r="H20" s="136"/>
      <c r="I20" s="136"/>
      <c r="J20" s="237"/>
    </row>
    <row r="21" spans="1:10" ht="14.45" customHeight="1" x14ac:dyDescent="0.25">
      <c r="A21" s="287" t="s">
        <v>200</v>
      </c>
      <c r="B21" s="7" t="s">
        <v>24</v>
      </c>
      <c r="C21" s="288">
        <v>26414</v>
      </c>
      <c r="D21" s="288" t="s">
        <v>137</v>
      </c>
      <c r="E21" s="9"/>
      <c r="F21" s="9"/>
      <c r="G21" s="228"/>
      <c r="H21" s="228"/>
      <c r="I21" s="228"/>
      <c r="J21" s="228"/>
    </row>
    <row r="22" spans="1:10" ht="14.45" customHeight="1" x14ac:dyDescent="0.25">
      <c r="A22" s="287"/>
      <c r="B22" s="12" t="s">
        <v>144</v>
      </c>
      <c r="C22" s="288"/>
      <c r="D22" s="288"/>
      <c r="E22" s="9"/>
      <c r="F22" s="9"/>
      <c r="G22" s="228"/>
      <c r="H22" s="228"/>
      <c r="I22" s="228"/>
      <c r="J22" s="228"/>
    </row>
    <row r="23" spans="1:10" s="63" customFormat="1" ht="17.25" customHeight="1" x14ac:dyDescent="0.25">
      <c r="A23" s="137" t="s">
        <v>201</v>
      </c>
      <c r="B23" s="176" t="s">
        <v>159</v>
      </c>
      <c r="C23" s="123">
        <v>26415</v>
      </c>
      <c r="D23" s="123" t="s">
        <v>137</v>
      </c>
      <c r="E23" s="123"/>
      <c r="F23" s="123"/>
      <c r="G23" s="233"/>
      <c r="H23" s="233"/>
      <c r="I23" s="233"/>
      <c r="J23" s="233"/>
    </row>
    <row r="24" spans="1:10" s="62" customFormat="1" ht="28.5" x14ac:dyDescent="0.25">
      <c r="A24" s="229" t="s">
        <v>146</v>
      </c>
      <c r="B24" s="125" t="s">
        <v>147</v>
      </c>
      <c r="C24" s="230">
        <v>26420</v>
      </c>
      <c r="D24" s="230" t="s">
        <v>137</v>
      </c>
      <c r="E24" s="230"/>
      <c r="F24" s="230"/>
      <c r="G24" s="236">
        <f>+G25+G28</f>
        <v>6988491.6600000001</v>
      </c>
      <c r="H24" s="236">
        <f t="shared" ref="H24:J24" si="1">+H25+H28</f>
        <v>4037783</v>
      </c>
      <c r="I24" s="236">
        <f t="shared" si="1"/>
        <v>3969783</v>
      </c>
      <c r="J24" s="236">
        <f t="shared" si="1"/>
        <v>0</v>
      </c>
    </row>
    <row r="25" spans="1:10" s="62" customFormat="1" x14ac:dyDescent="0.25">
      <c r="A25" s="287" t="s">
        <v>148</v>
      </c>
      <c r="B25" s="7" t="s">
        <v>24</v>
      </c>
      <c r="C25" s="288">
        <v>26421</v>
      </c>
      <c r="D25" s="288" t="s">
        <v>137</v>
      </c>
      <c r="E25" s="288"/>
      <c r="F25" s="9"/>
      <c r="G25" s="291"/>
      <c r="H25" s="291"/>
      <c r="I25" s="291"/>
      <c r="J25" s="291"/>
    </row>
    <row r="26" spans="1:10" s="62" customFormat="1" x14ac:dyDescent="0.25">
      <c r="A26" s="287"/>
      <c r="B26" s="12" t="s">
        <v>144</v>
      </c>
      <c r="C26" s="288"/>
      <c r="D26" s="288"/>
      <c r="E26" s="288"/>
      <c r="F26" s="9"/>
      <c r="G26" s="291"/>
      <c r="H26" s="291"/>
      <c r="I26" s="291"/>
      <c r="J26" s="291"/>
    </row>
    <row r="27" spans="1:10" ht="18" x14ac:dyDescent="0.25">
      <c r="A27" s="118"/>
      <c r="B27" s="119" t="s">
        <v>246</v>
      </c>
      <c r="C27" s="116" t="s">
        <v>249</v>
      </c>
      <c r="D27" s="116"/>
      <c r="E27" s="116"/>
      <c r="F27" s="116"/>
      <c r="G27" s="233"/>
      <c r="H27" s="233"/>
      <c r="I27" s="233"/>
      <c r="J27" s="233"/>
    </row>
    <row r="28" spans="1:10" s="62" customFormat="1" x14ac:dyDescent="0.25">
      <c r="A28" s="137" t="s">
        <v>149</v>
      </c>
      <c r="B28" s="176" t="s">
        <v>189</v>
      </c>
      <c r="C28" s="123">
        <v>26422</v>
      </c>
      <c r="D28" s="123" t="s">
        <v>137</v>
      </c>
      <c r="E28" s="123"/>
      <c r="F28" s="123"/>
      <c r="G28" s="233">
        <f>'2024'!G66+'2024'!H66+'2024'!I66+'2024'!J66+'2024'!O66+'2024'!K66+'2024'!L66+'2024'!M66+'2024'!N66+'2024'!P66+'2024'!Q66+'2024'!R66</f>
        <v>6988491.6600000001</v>
      </c>
      <c r="H28" s="233">
        <f>'2025'!G66+'2025'!H66+'2025'!I66+'2025'!J66+'2025'!O66+'2025'!K66+'2025'!L66+'2025'!M66+'2025'!N66+'2025'!P66+'2025'!Q66+'2025'!R66</f>
        <v>4037783</v>
      </c>
      <c r="I28" s="233">
        <f>'2026'!G66+'2026'!H66+'2026'!I66+'2026'!J66+'2026'!O66+'2026'!K66+'2026'!L66+'2026'!M66+'2026'!N66+'2026'!P66+'2026'!Q66+'2026'!R66</f>
        <v>3969783</v>
      </c>
      <c r="J28" s="233"/>
    </row>
    <row r="29" spans="1:10" x14ac:dyDescent="0.25">
      <c r="A29" s="82" t="s">
        <v>150</v>
      </c>
      <c r="B29" s="120" t="s">
        <v>190</v>
      </c>
      <c r="C29" s="64">
        <v>26430</v>
      </c>
      <c r="D29" s="64" t="s">
        <v>137</v>
      </c>
      <c r="E29" s="64"/>
      <c r="F29" s="64"/>
      <c r="G29" s="72"/>
      <c r="H29" s="72"/>
      <c r="I29" s="72"/>
      <c r="J29" s="72"/>
    </row>
    <row r="30" spans="1:10" ht="18" x14ac:dyDescent="0.25">
      <c r="A30" s="118"/>
      <c r="B30" s="119" t="s">
        <v>246</v>
      </c>
      <c r="C30" s="116" t="s">
        <v>250</v>
      </c>
      <c r="D30" s="116"/>
      <c r="E30" s="116"/>
      <c r="F30" s="116"/>
      <c r="G30" s="72"/>
      <c r="H30" s="72"/>
      <c r="I30" s="72"/>
      <c r="J30" s="72"/>
    </row>
    <row r="31" spans="1:10" s="177" customFormat="1" ht="18" x14ac:dyDescent="0.25">
      <c r="A31" s="118"/>
      <c r="B31" s="119" t="s">
        <v>285</v>
      </c>
      <c r="C31" s="116" t="s">
        <v>265</v>
      </c>
      <c r="D31" s="116"/>
      <c r="E31" s="116"/>
      <c r="F31" s="116"/>
      <c r="G31" s="72"/>
      <c r="H31" s="72"/>
      <c r="I31" s="72"/>
      <c r="J31" s="72"/>
    </row>
    <row r="32" spans="1:10" x14ac:dyDescent="0.25">
      <c r="A32" s="82" t="s">
        <v>151</v>
      </c>
      <c r="B32" s="13" t="s">
        <v>152</v>
      </c>
      <c r="C32" s="64">
        <v>26440</v>
      </c>
      <c r="D32" s="64" t="s">
        <v>137</v>
      </c>
      <c r="E32" s="64"/>
      <c r="F32" s="64"/>
      <c r="G32" s="72">
        <f>+G33+G35</f>
        <v>0</v>
      </c>
      <c r="H32" s="72">
        <f t="shared" ref="H32:J32" si="2">+H33+H35</f>
        <v>0</v>
      </c>
      <c r="I32" s="72">
        <f t="shared" si="2"/>
        <v>0</v>
      </c>
      <c r="J32" s="72">
        <f t="shared" si="2"/>
        <v>0</v>
      </c>
    </row>
    <row r="33" spans="1:10" x14ac:dyDescent="0.25">
      <c r="A33" s="287" t="s">
        <v>153</v>
      </c>
      <c r="B33" s="7" t="s">
        <v>24</v>
      </c>
      <c r="C33" s="288">
        <v>26441</v>
      </c>
      <c r="D33" s="288" t="s">
        <v>137</v>
      </c>
      <c r="E33" s="288"/>
      <c r="F33" s="9"/>
      <c r="G33" s="284"/>
      <c r="H33" s="284"/>
      <c r="I33" s="284"/>
      <c r="J33" s="284"/>
    </row>
    <row r="34" spans="1:10" s="63" customFormat="1" ht="17.25" customHeight="1" x14ac:dyDescent="0.25">
      <c r="A34" s="287"/>
      <c r="B34" s="12" t="s">
        <v>144</v>
      </c>
      <c r="C34" s="288"/>
      <c r="D34" s="288"/>
      <c r="E34" s="288"/>
      <c r="F34" s="9"/>
      <c r="G34" s="284"/>
      <c r="H34" s="284"/>
      <c r="I34" s="284"/>
      <c r="J34" s="284"/>
    </row>
    <row r="35" spans="1:10" s="177" customFormat="1" x14ac:dyDescent="0.25">
      <c r="A35" s="231" t="s">
        <v>154</v>
      </c>
      <c r="B35" s="7" t="s">
        <v>159</v>
      </c>
      <c r="C35" s="9">
        <v>26442</v>
      </c>
      <c r="D35" s="9" t="s">
        <v>137</v>
      </c>
      <c r="E35" s="9"/>
      <c r="F35" s="9"/>
      <c r="G35" s="228"/>
      <c r="H35" s="228"/>
      <c r="I35" s="228"/>
      <c r="J35" s="228"/>
    </row>
    <row r="36" spans="1:10" s="62" customFormat="1" x14ac:dyDescent="0.25">
      <c r="A36" s="229" t="s">
        <v>155</v>
      </c>
      <c r="B36" s="124" t="s">
        <v>156</v>
      </c>
      <c r="C36" s="230">
        <v>26450</v>
      </c>
      <c r="D36" s="230" t="s">
        <v>137</v>
      </c>
      <c r="E36" s="230"/>
      <c r="F36" s="230"/>
      <c r="G36" s="236">
        <f>+G37+G41</f>
        <v>1284552.5</v>
      </c>
      <c r="H36" s="236">
        <f t="shared" ref="H36:J36" si="3">+H37+H41</f>
        <v>1061933.1299999999</v>
      </c>
      <c r="I36" s="236">
        <f t="shared" si="3"/>
        <v>1061933.1299999999</v>
      </c>
      <c r="J36" s="236">
        <f t="shared" si="3"/>
        <v>0</v>
      </c>
    </row>
    <row r="37" spans="1:10" s="62" customFormat="1" x14ac:dyDescent="0.25">
      <c r="A37" s="287" t="s">
        <v>157</v>
      </c>
      <c r="B37" s="7" t="s">
        <v>24</v>
      </c>
      <c r="C37" s="288">
        <v>26451</v>
      </c>
      <c r="D37" s="288" t="s">
        <v>137</v>
      </c>
      <c r="E37" s="288"/>
      <c r="F37" s="9"/>
      <c r="G37" s="291"/>
      <c r="H37" s="291"/>
      <c r="I37" s="291"/>
      <c r="J37" s="291"/>
    </row>
    <row r="38" spans="1:10" s="62" customFormat="1" x14ac:dyDescent="0.25">
      <c r="A38" s="287"/>
      <c r="B38" s="12" t="s">
        <v>144</v>
      </c>
      <c r="C38" s="288"/>
      <c r="D38" s="288"/>
      <c r="E38" s="288"/>
      <c r="F38" s="9"/>
      <c r="G38" s="291"/>
      <c r="H38" s="291"/>
      <c r="I38" s="291"/>
      <c r="J38" s="291"/>
    </row>
    <row r="39" spans="1:10" s="63" customFormat="1" ht="18" x14ac:dyDescent="0.25">
      <c r="A39" s="118"/>
      <c r="B39" s="119" t="s">
        <v>246</v>
      </c>
      <c r="C39" s="116" t="s">
        <v>251</v>
      </c>
      <c r="D39" s="116"/>
      <c r="E39" s="116"/>
      <c r="F39" s="116"/>
      <c r="G39" s="233"/>
      <c r="H39" s="233"/>
      <c r="I39" s="233"/>
      <c r="J39" s="233"/>
    </row>
    <row r="40" spans="1:10" s="179" customFormat="1" ht="18.75" customHeight="1" x14ac:dyDescent="0.25">
      <c r="A40" s="118"/>
      <c r="B40" s="119" t="s">
        <v>285</v>
      </c>
      <c r="C40" s="116" t="s">
        <v>266</v>
      </c>
      <c r="D40" s="116"/>
      <c r="E40" s="116"/>
      <c r="F40" s="116"/>
      <c r="G40" s="228"/>
      <c r="H40" s="228"/>
      <c r="I40" s="228"/>
      <c r="J40" s="228"/>
    </row>
    <row r="41" spans="1:10" s="63" customFormat="1" x14ac:dyDescent="0.25">
      <c r="A41" s="137" t="s">
        <v>158</v>
      </c>
      <c r="B41" s="138" t="s">
        <v>159</v>
      </c>
      <c r="C41" s="123">
        <v>26452</v>
      </c>
      <c r="D41" s="123" t="s">
        <v>137</v>
      </c>
      <c r="E41" s="123"/>
      <c r="F41" s="123"/>
      <c r="G41" s="233">
        <f>'2024'!T66+'2024'!U66+'2024'!V66+'2024'!W66+'2024'!X66</f>
        <v>1284552.5</v>
      </c>
      <c r="H41" s="233">
        <f>'2025'!T66+'2025'!U66+'2025'!V66+'2025'!W66+'2025'!X66+'2025'!Y66</f>
        <v>1061933.1299999999</v>
      </c>
      <c r="I41" s="233">
        <f>'2026'!T66+'2026'!U66+'2026'!V66+'2026'!W66+'2026'!X66+'2026'!Y66</f>
        <v>1061933.1299999999</v>
      </c>
      <c r="J41" s="233"/>
    </row>
    <row r="42" spans="1:10" s="62" customFormat="1" ht="28.5" x14ac:dyDescent="0.25">
      <c r="A42" s="229" t="s">
        <v>160</v>
      </c>
      <c r="B42" s="90" t="s">
        <v>191</v>
      </c>
      <c r="C42" s="230">
        <v>26500</v>
      </c>
      <c r="D42" s="230" t="s">
        <v>137</v>
      </c>
      <c r="E42" s="230"/>
      <c r="F42" s="230"/>
      <c r="G42" s="236">
        <f>G43</f>
        <v>0</v>
      </c>
      <c r="H42" s="236">
        <f t="shared" ref="H42:J42" si="4">H43</f>
        <v>0</v>
      </c>
      <c r="I42" s="236">
        <f t="shared" si="4"/>
        <v>0</v>
      </c>
      <c r="J42" s="236">
        <f t="shared" si="4"/>
        <v>0</v>
      </c>
    </row>
    <row r="43" spans="1:10" s="62" customFormat="1" x14ac:dyDescent="0.25">
      <c r="A43" s="122"/>
      <c r="B43" s="123" t="s">
        <v>161</v>
      </c>
      <c r="C43" s="123">
        <v>26510</v>
      </c>
      <c r="D43" s="91"/>
      <c r="E43" s="91"/>
      <c r="F43" s="91"/>
      <c r="G43" s="233">
        <f>G37+G25+G17</f>
        <v>0</v>
      </c>
      <c r="H43" s="233">
        <f t="shared" ref="H43:J43" si="5">H37+H25+H17</f>
        <v>0</v>
      </c>
      <c r="I43" s="233">
        <f t="shared" si="5"/>
        <v>0</v>
      </c>
      <c r="J43" s="233">
        <f t="shared" si="5"/>
        <v>0</v>
      </c>
    </row>
    <row r="44" spans="1:10" s="62" customFormat="1" ht="28.5" x14ac:dyDescent="0.25">
      <c r="A44" s="229" t="s">
        <v>162</v>
      </c>
      <c r="B44" s="121" t="s">
        <v>163</v>
      </c>
      <c r="C44" s="230">
        <v>26600</v>
      </c>
      <c r="D44" s="230" t="s">
        <v>137</v>
      </c>
      <c r="E44" s="230"/>
      <c r="F44" s="230"/>
      <c r="G44" s="236">
        <f>+G45</f>
        <v>16314149.380000001</v>
      </c>
      <c r="H44" s="236">
        <f t="shared" ref="H44:J44" si="6">+H45</f>
        <v>5671976.1299999999</v>
      </c>
      <c r="I44" s="236">
        <f t="shared" si="6"/>
        <v>5603976.1299999999</v>
      </c>
      <c r="J44" s="236">
        <f t="shared" si="6"/>
        <v>0</v>
      </c>
    </row>
    <row r="45" spans="1:10" s="62" customFormat="1" x14ac:dyDescent="0.25">
      <c r="A45" s="122"/>
      <c r="B45" s="123" t="s">
        <v>161</v>
      </c>
      <c r="C45" s="123">
        <v>26610</v>
      </c>
      <c r="D45" s="91"/>
      <c r="E45" s="91"/>
      <c r="F45" s="91"/>
      <c r="G45" s="233">
        <f>G41+G35+G28+G23+G19+G9</f>
        <v>16314149.380000001</v>
      </c>
      <c r="H45" s="233">
        <f t="shared" ref="H45:I45" si="7">H41+H35+H28+H23+H19+H9</f>
        <v>5671976.1299999999</v>
      </c>
      <c r="I45" s="233">
        <f t="shared" si="7"/>
        <v>5603976.1299999999</v>
      </c>
      <c r="J45" s="233">
        <f t="shared" ref="J45" si="8">J41</f>
        <v>0</v>
      </c>
    </row>
    <row r="46" spans="1:10" s="62" customFormat="1" ht="14.25" customHeight="1" x14ac:dyDescent="0.25">
      <c r="A46" s="75"/>
      <c r="B46" s="76"/>
      <c r="C46" s="76"/>
      <c r="D46" s="75"/>
      <c r="E46" s="75"/>
      <c r="F46" s="75"/>
      <c r="G46" s="77"/>
      <c r="H46" s="77"/>
      <c r="I46" s="77"/>
      <c r="J46" s="77"/>
    </row>
    <row r="47" spans="1:10" ht="14.45" customHeight="1" x14ac:dyDescent="0.25">
      <c r="A47" s="75"/>
      <c r="B47" s="76"/>
      <c r="C47" s="76"/>
      <c r="D47" s="75"/>
      <c r="E47" s="75"/>
      <c r="F47" s="75"/>
      <c r="G47" s="77"/>
      <c r="H47" s="77"/>
      <c r="I47" s="77"/>
      <c r="J47" s="77"/>
    </row>
    <row r="48" spans="1:10" s="62" customFormat="1" ht="18" customHeight="1" x14ac:dyDescent="0.25">
      <c r="A48" s="75"/>
      <c r="B48" s="187" t="s">
        <v>271</v>
      </c>
      <c r="C48" s="76"/>
      <c r="D48" s="283" t="s">
        <v>282</v>
      </c>
      <c r="E48" s="283"/>
      <c r="F48" s="75"/>
      <c r="G48" s="74"/>
      <c r="H48" s="74"/>
      <c r="I48" s="77"/>
      <c r="J48" s="77"/>
    </row>
    <row r="49" spans="1:19" s="62" customFormat="1" ht="18" hidden="1" customHeight="1" x14ac:dyDescent="0.25">
      <c r="A49" s="75"/>
      <c r="B49" s="187" t="s">
        <v>290</v>
      </c>
      <c r="C49" s="76"/>
      <c r="D49" s="283" t="s">
        <v>282</v>
      </c>
      <c r="E49" s="283"/>
      <c r="F49" s="75"/>
      <c r="G49" s="74"/>
      <c r="H49" s="74"/>
      <c r="I49" s="77"/>
      <c r="J49" s="77"/>
    </row>
    <row r="50" spans="1:19" s="62" customFormat="1" ht="17.25" hidden="1" customHeight="1" x14ac:dyDescent="0.25">
      <c r="A50" s="75"/>
      <c r="B50" s="187" t="s">
        <v>271</v>
      </c>
      <c r="C50" s="16"/>
      <c r="D50" s="282" t="s">
        <v>272</v>
      </c>
      <c r="E50" s="282"/>
      <c r="F50" s="75"/>
      <c r="I50" s="77"/>
      <c r="J50" s="77"/>
    </row>
    <row r="51" spans="1:19" ht="21" hidden="1" customHeight="1" x14ac:dyDescent="0.25">
      <c r="A51" s="172"/>
      <c r="B51" s="14" t="s">
        <v>269</v>
      </c>
      <c r="C51" s="15"/>
      <c r="D51" s="281" t="s">
        <v>270</v>
      </c>
      <c r="E51" s="281"/>
      <c r="F51" s="73"/>
      <c r="G51" s="204"/>
      <c r="H51"/>
      <c r="I51"/>
      <c r="J51"/>
    </row>
    <row r="52" spans="1:19" s="209" customFormat="1" ht="12.75" x14ac:dyDescent="0.2">
      <c r="A52" s="205"/>
      <c r="B52" s="206" t="s">
        <v>213</v>
      </c>
      <c r="C52" s="207"/>
      <c r="D52" s="208" t="s">
        <v>181</v>
      </c>
      <c r="F52" s="210" t="s">
        <v>212</v>
      </c>
    </row>
    <row r="53" spans="1:19" x14ac:dyDescent="0.25">
      <c r="F53" s="2"/>
      <c r="G53" s="173"/>
      <c r="J53"/>
    </row>
    <row r="54" spans="1:19" x14ac:dyDescent="0.25">
      <c r="F54" s="2"/>
      <c r="G54" s="173"/>
      <c r="J54"/>
    </row>
    <row r="55" spans="1:19" hidden="1" x14ac:dyDescent="0.25">
      <c r="A55" s="188"/>
      <c r="B55" s="189" t="s">
        <v>305</v>
      </c>
      <c r="C55" s="188"/>
      <c r="D55" s="188" t="s">
        <v>306</v>
      </c>
      <c r="E55" s="188"/>
      <c r="F55" s="190"/>
      <c r="G55" s="174" t="s">
        <v>214</v>
      </c>
      <c r="H55" s="191"/>
      <c r="I55" s="190"/>
      <c r="J55" s="191"/>
    </row>
    <row r="56" spans="1:19" s="191" customFormat="1" ht="15" hidden="1" customHeight="1" x14ac:dyDescent="0.25">
      <c r="A56" s="16"/>
      <c r="B56" s="189" t="s">
        <v>307</v>
      </c>
      <c r="C56" s="16"/>
      <c r="D56" s="188" t="s">
        <v>308</v>
      </c>
      <c r="E56" s="16"/>
      <c r="F56" s="74"/>
      <c r="G56" s="174" t="s">
        <v>214</v>
      </c>
      <c r="H56" s="62"/>
      <c r="I56" s="74"/>
      <c r="J56" s="62"/>
      <c r="S56" s="191" t="s">
        <v>212</v>
      </c>
    </row>
    <row r="57" spans="1:19" s="62" customFormat="1" ht="15" customHeight="1" x14ac:dyDescent="0.25">
      <c r="A57" s="16"/>
      <c r="B57" s="14" t="s">
        <v>271</v>
      </c>
      <c r="C57" s="16"/>
      <c r="D57" s="281" t="s">
        <v>309</v>
      </c>
      <c r="E57" s="281"/>
      <c r="F57" s="74"/>
      <c r="G57" s="174" t="s">
        <v>214</v>
      </c>
    </row>
    <row r="58" spans="1:19" s="62" customFormat="1" ht="17.25" customHeight="1" x14ac:dyDescent="0.25">
      <c r="A58" s="207"/>
      <c r="B58" s="211" t="s">
        <v>215</v>
      </c>
      <c r="C58" s="207"/>
      <c r="D58" s="207" t="s">
        <v>182</v>
      </c>
      <c r="E58" s="207"/>
      <c r="F58" s="210"/>
      <c r="G58" s="208" t="s">
        <v>183</v>
      </c>
      <c r="H58" s="212"/>
      <c r="I58" s="212"/>
      <c r="J58" s="212"/>
    </row>
    <row r="79" spans="2:2" x14ac:dyDescent="0.25">
      <c r="B79" s="1" t="s">
        <v>212</v>
      </c>
    </row>
  </sheetData>
  <mergeCells count="64">
    <mergeCell ref="I33:I34"/>
    <mergeCell ref="J33:J34"/>
    <mergeCell ref="A37:A38"/>
    <mergeCell ref="C37:C38"/>
    <mergeCell ref="D37:D38"/>
    <mergeCell ref="E37:E38"/>
    <mergeCell ref="G37:G38"/>
    <mergeCell ref="H37:H38"/>
    <mergeCell ref="I37:I38"/>
    <mergeCell ref="J37:J38"/>
    <mergeCell ref="A33:A34"/>
    <mergeCell ref="C33:C34"/>
    <mergeCell ref="D33:D34"/>
    <mergeCell ref="E33:E34"/>
    <mergeCell ref="J15:J16"/>
    <mergeCell ref="A17:A18"/>
    <mergeCell ref="C17:C18"/>
    <mergeCell ref="D17:D18"/>
    <mergeCell ref="E17:E18"/>
    <mergeCell ref="G17:G18"/>
    <mergeCell ref="H17:H18"/>
    <mergeCell ref="I17:I18"/>
    <mergeCell ref="J17:J18"/>
    <mergeCell ref="D15:D16"/>
    <mergeCell ref="E15:E16"/>
    <mergeCell ref="G15:G16"/>
    <mergeCell ref="H15:H16"/>
    <mergeCell ref="I15:I16"/>
    <mergeCell ref="B2:B3"/>
    <mergeCell ref="C2:C3"/>
    <mergeCell ref="D2:D3"/>
    <mergeCell ref="G2:J2"/>
    <mergeCell ref="F2:F3"/>
    <mergeCell ref="A1:J1"/>
    <mergeCell ref="I6:I7"/>
    <mergeCell ref="J6:J7"/>
    <mergeCell ref="G25:G26"/>
    <mergeCell ref="H25:H26"/>
    <mergeCell ref="I25:I26"/>
    <mergeCell ref="J25:J26"/>
    <mergeCell ref="E2:E3"/>
    <mergeCell ref="E6:E7"/>
    <mergeCell ref="E25:E26"/>
    <mergeCell ref="A6:A7"/>
    <mergeCell ref="C6:C7"/>
    <mergeCell ref="D6:D7"/>
    <mergeCell ref="G6:G7"/>
    <mergeCell ref="H6:H7"/>
    <mergeCell ref="A2:A3"/>
    <mergeCell ref="D57:E57"/>
    <mergeCell ref="D50:E50"/>
    <mergeCell ref="D48:E48"/>
    <mergeCell ref="H33:H34"/>
    <mergeCell ref="A15:A16"/>
    <mergeCell ref="C15:C16"/>
    <mergeCell ref="G33:G34"/>
    <mergeCell ref="A21:A22"/>
    <mergeCell ref="C21:C22"/>
    <mergeCell ref="D21:D22"/>
    <mergeCell ref="A25:A26"/>
    <mergeCell ref="C25:C26"/>
    <mergeCell ref="D25:D26"/>
    <mergeCell ref="D49:E49"/>
    <mergeCell ref="D51:E51"/>
  </mergeCells>
  <hyperlinks>
    <hyperlink ref="B5" location="P1117" display="P1117"/>
    <hyperlink ref="B18" r:id="rId1" display="consultantplus://offline/ref=C6A4D78669D02F5015F66DF49E9348C80A54B5E7A14F74C3C60CB5FEB64CC47F5C486DCC3DBFBC4ED3CEB4E35Fq9mAI"/>
    <hyperlink ref="B24" r:id="rId2" display="consultantplus://offline/ref=C6A4D78669D02F5015F66DF49E9348C80A54B7E4A34F74C3C60CB5FEB64CC47F4E4835C23EB3A4458181F2B65391C71D73845FA0C648qAm7I"/>
    <hyperlink ref="B26" r:id="rId3" display="consultantplus://offline/ref=C6A4D78669D02F5015F66DF49E9348C80A54B5E7A14F74C3C60CB5FEB64CC47F5C486DCC3DBFBC4ED3CEB4E35Fq9mAI"/>
    <hyperlink ref="B29" location="P1121" display="P1121"/>
    <hyperlink ref="B34" r:id="rId4" display="consultantplus://offline/ref=C6A4D78669D02F5015F66DF49E9348C80A54B5E7A14F74C3C60CB5FEB64CC47F5C486DCC3DBFBC4ED3CEB4E35Fq9mAI"/>
    <hyperlink ref="B38" r:id="rId5" display="consultantplus://offline/ref=C6A4D78669D02F5015F66DF49E9348C80A54B5E7A14F74C3C60CB5FEB64CC47F5C486DCC3DBFBC4ED3CEB4E35Fq9mAI"/>
    <hyperlink ref="B41" r:id="rId6" display="consultantplus://offline/ref=C6A4D78669D02F5015F66DF49E9348C80A57B3E5A44A74C3C60CB5FEB64CC47F5C486DCC3DBFBC4ED3CEB4E35Fq9mAI"/>
    <hyperlink ref="B44" r:id="rId7" display="consultantplus://offline/ref=C6A4D78669D02F5015F66DF49E9348C80A57B3E5A44A74C3C60CB5FEB64CC47F5C486DCC3DBFBC4ED3CEB4E35Fq9mAI"/>
    <hyperlink ref="B22" r:id="rId8" display="consultantplus://offline/ref=C6A4D78669D02F5015F66DF49E9348C80A54B5E7A14F74C3C60CB5FEB64CC47F5C486DCC3DBFBC4ED3CEB4E35Fq9mAI"/>
    <hyperlink ref="B10" r:id="rId9" display="consultantplus://offline/ref=C6A4D78669D02F5015F66DF49E9348C80A54B5E7A14F74C3C60CB5FEB64CC47F5C486DCC3DBFBC4ED3CEB4E35Fq9mAI"/>
  </hyperlinks>
  <pageMargins left="0.14000000000000001" right="0.19685039370078741" top="0.27559055118110237" bottom="0.15748031496062992" header="0.15748031496062992" footer="0.15748031496062992"/>
  <pageSetup paperSize="9" scale="50" fitToHeight="0" orientation="landscape"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СОШ №45</vt:lpstr>
      <vt:lpstr>Разд.1</vt:lpstr>
      <vt:lpstr>2024</vt:lpstr>
      <vt:lpstr>2025</vt:lpstr>
      <vt:lpstr>2026</vt:lpstr>
      <vt:lpstr>Разд.1.4</vt:lpstr>
      <vt:lpstr>Разд.2</vt:lpstr>
      <vt:lpstr>'2024'!Область_печати</vt:lpstr>
      <vt:lpstr>'2025'!Область_печати</vt:lpstr>
      <vt:lpstr>'2026'!Область_печати</vt:lpstr>
      <vt:lpstr>Разд.1!Область_печати</vt:lpstr>
      <vt:lpstr>Разд.1.4!Область_печати</vt:lpstr>
      <vt:lpstr>Разд.2!Область_печати</vt:lpstr>
      <vt:lpstr>'СОШ №45'!Область_печати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2024-06-10T11:06:11Z</cp:lastPrinted>
  <dcterms:created xsi:type="dcterms:W3CDTF">2019-07-03T12:22:02Z</dcterms:created>
  <dcterms:modified xsi:type="dcterms:W3CDTF">2024-07-29T08:07:20Z</dcterms:modified>
</cp:coreProperties>
</file>